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D:\Users\Computer\Technical July 2013\Engine\Spreadsheet For Distribution\"/>
    </mc:Choice>
  </mc:AlternateContent>
  <xr:revisionPtr revIDLastSave="0" documentId="8_{E8950021-FF11-4E4D-ADAB-8634CF984217}" xr6:coauthVersionLast="43" xr6:coauthVersionMax="43" xr10:uidLastSave="{00000000-0000-0000-0000-000000000000}"/>
  <bookViews>
    <workbookView xWindow="10680" yWindow="5955" windowWidth="18120" windowHeight="9645" activeTab="2" xr2:uid="{00000000-000D-0000-FFFF-FFFF00000000}"/>
  </bookViews>
  <sheets>
    <sheet name="Power and Cooling" sheetId="7" r:id="rId1"/>
    <sheet name="Rotor HP" sheetId="2" state="hidden" r:id="rId2"/>
    <sheet name="Cooling Calculations" sheetId="3" r:id="rId3"/>
    <sheet name="Manifold Pressure" sheetId="8" state="hidden" r:id="rId4"/>
    <sheet name="Performance" sheetId="4" state="hidden" r:id="rId5"/>
  </sheets>
  <externalReferences>
    <externalReference r:id="rId6"/>
  </externalReferences>
  <definedNames>
    <definedName name="AirFlow_per_Rotor_Rev">'Rotor HP'!$T$79</definedName>
    <definedName name="CAS">#REF!</definedName>
    <definedName name="CCAS">#REF!</definedName>
    <definedName name="DP">#REF!</definedName>
    <definedName name="F_A" localSheetId="1">'Rotor HP'!$L$78</definedName>
    <definedName name="F_A">[1]ROTORHP!$I$5</definedName>
    <definedName name="Faces_per_rotor">'Rotor HP'!$T$76</definedName>
    <definedName name="HP">#REF!</definedName>
    <definedName name="M">#REF!</definedName>
    <definedName name="Number_rotor_faces">'Rotor HP'!#REF!</definedName>
    <definedName name="Number_Rotors">'Rotor HP'!$T$75</definedName>
    <definedName name="P">#REF!</definedName>
    <definedName name="Pa" localSheetId="1">'Rotor HP'!$L$74</definedName>
    <definedName name="PA">[1]ROTORHP!$I$2</definedName>
    <definedName name="Pa_8000">'Rotor HP'!$L$75</definedName>
    <definedName name="Pf" localSheetId="1">'Rotor HP'!$L$76</definedName>
    <definedName name="PF">[1]ROTORHP!$I$3</definedName>
    <definedName name="Power_Strokes">'Rotor HP'!#REF!</definedName>
    <definedName name="Power_strokes_Rotor_Rev">'Rotor HP'!#REF!</definedName>
    <definedName name="_xlnm.Print_Area" localSheetId="1">'Rotor HP'!$N$2:$S$22</definedName>
    <definedName name="RPM_Start">'Rotor HP'!$M$87</definedName>
    <definedName name="RPM_Step">'Rotor HP'!$M$88</definedName>
    <definedName name="TA">#REF!</definedName>
    <definedName name="Total_Volume_Swept_per_Rotor">'Rotor HP'!$T$77</definedName>
    <definedName name="VCID">'Rotor HP'!$T$78</definedName>
    <definedName name="Ve" localSheetId="1">'Rotor HP'!$M$85</definedName>
    <definedName name="VE">[1]ROTORHP!$C$10</definedName>
    <definedName name="Vt" localSheetId="1">'Rotor HP'!$M$86</definedName>
    <definedName name="VT">[1]ROTORHP!$C$8</definedName>
    <definedName name="Vt_Rotor">'Rotor HP'!$T$74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3" l="1"/>
  <c r="B3" i="3" l="1"/>
  <c r="B15" i="3" s="1"/>
  <c r="C15" i="3" s="1"/>
  <c r="F14" i="3" s="1"/>
  <c r="F29" i="3" s="1"/>
  <c r="G29" i="3" s="1"/>
  <c r="F34" i="3" s="1"/>
  <c r="E34" i="3" s="1"/>
  <c r="E36" i="3" s="1"/>
  <c r="I34" i="3"/>
  <c r="G34" i="3"/>
  <c r="M32" i="3"/>
  <c r="G42" i="3"/>
  <c r="G20" i="3"/>
  <c r="B4" i="3"/>
  <c r="B2" i="3"/>
  <c r="E3" i="3" s="1"/>
  <c r="F4" i="3"/>
  <c r="G4" i="3" s="1"/>
  <c r="F3" i="3"/>
  <c r="G3" i="3" s="1"/>
  <c r="A100" i="3"/>
  <c r="R33" i="3"/>
  <c r="M30" i="3"/>
  <c r="P30" i="3"/>
  <c r="Q30" i="3"/>
  <c r="M31" i="3"/>
  <c r="P31" i="3"/>
  <c r="Q31" i="3"/>
  <c r="Q32" i="3"/>
  <c r="M34" i="3"/>
  <c r="S33" i="3"/>
  <c r="N34" i="3"/>
  <c r="P34" i="3"/>
  <c r="Q34" i="3"/>
  <c r="O5" i="2"/>
  <c r="J12" i="2"/>
  <c r="B76" i="2" s="1"/>
  <c r="J8" i="2"/>
  <c r="M87" i="2" s="1"/>
  <c r="Q90" i="2" s="1"/>
  <c r="AG90" i="2" s="1"/>
  <c r="J9" i="2"/>
  <c r="M88" i="2" s="1"/>
  <c r="J7" i="2"/>
  <c r="O3" i="2" s="1"/>
  <c r="T77" i="2"/>
  <c r="T75" i="2"/>
  <c r="L144" i="2"/>
  <c r="E9" i="8"/>
  <c r="D9" i="8" s="1"/>
  <c r="D8" i="8" s="1"/>
  <c r="E8" i="8" s="1"/>
  <c r="D7" i="8"/>
  <c r="M80" i="2"/>
  <c r="L78" i="2"/>
  <c r="K103" i="2"/>
  <c r="J10" i="2"/>
  <c r="T30" i="2" s="1"/>
  <c r="J11" i="2"/>
  <c r="O4" i="2" s="1"/>
  <c r="N31" i="3" s="1"/>
  <c r="D23" i="8"/>
  <c r="D3" i="8"/>
  <c r="D3" i="4"/>
  <c r="E3" i="4" s="1"/>
  <c r="F3" i="4" s="1"/>
  <c r="P4" i="7"/>
  <c r="M4" i="7"/>
  <c r="K3" i="7"/>
  <c r="P3" i="7"/>
  <c r="M3" i="7"/>
  <c r="B73" i="2"/>
  <c r="M144" i="2"/>
  <c r="N144" i="2"/>
  <c r="L135" i="2"/>
  <c r="M135" i="2" s="1"/>
  <c r="N135" i="2" s="1"/>
  <c r="L134" i="2"/>
  <c r="M134" i="2" s="1"/>
  <c r="N134" i="2" s="1"/>
  <c r="L133" i="2"/>
  <c r="M133" i="2" s="1"/>
  <c r="N133" i="2" s="1"/>
  <c r="L132" i="2"/>
  <c r="M132" i="2" s="1"/>
  <c r="N132" i="2"/>
  <c r="L131" i="2"/>
  <c r="M131" i="2" s="1"/>
  <c r="N131" i="2" s="1"/>
  <c r="L130" i="2"/>
  <c r="M130" i="2"/>
  <c r="N130" i="2"/>
  <c r="L143" i="2"/>
  <c r="M143" i="2" s="1"/>
  <c r="N143" i="2" s="1"/>
  <c r="A74" i="2"/>
  <c r="C73" i="2"/>
  <c r="AO99" i="2"/>
  <c r="AO101" i="2" s="1"/>
  <c r="AO102" i="2" s="1"/>
  <c r="AO100" i="2"/>
  <c r="AH92" i="2"/>
  <c r="AI92" i="2"/>
  <c r="AJ92" i="2" s="1"/>
  <c r="AK92" i="2" s="1"/>
  <c r="AL92" i="2" s="1"/>
  <c r="AM92" i="2" s="1"/>
  <c r="AN92" i="2" s="1"/>
  <c r="AO92" i="2" s="1"/>
  <c r="AP92" i="2" s="1"/>
  <c r="AQ92" i="2" s="1"/>
  <c r="AR92" i="2" s="1"/>
  <c r="AS92" i="2" s="1"/>
  <c r="AT92" i="2" s="1"/>
  <c r="AH93" i="2"/>
  <c r="AI93" i="2" s="1"/>
  <c r="AJ93" i="2" s="1"/>
  <c r="AK93" i="2" s="1"/>
  <c r="AL93" i="2" s="1"/>
  <c r="AM93" i="2" s="1"/>
  <c r="AN93" i="2" s="1"/>
  <c r="AO93" i="2" s="1"/>
  <c r="AQ93" i="2"/>
  <c r="AR93" i="2" s="1"/>
  <c r="AS93" i="2" s="1"/>
  <c r="AT93" i="2" s="1"/>
  <c r="L146" i="2"/>
  <c r="M146" i="2" s="1"/>
  <c r="N146" i="2" s="1"/>
  <c r="L120" i="2"/>
  <c r="M121" i="2"/>
  <c r="L123" i="2"/>
  <c r="S32" i="2"/>
  <c r="M145" i="2"/>
  <c r="N145" i="2" s="1"/>
  <c r="P30" i="2"/>
  <c r="R28" i="2"/>
  <c r="R30" i="2" s="1"/>
  <c r="M153" i="2"/>
  <c r="L136" i="2"/>
  <c r="M136" i="2" s="1"/>
  <c r="N136" i="2" s="1"/>
  <c r="L137" i="2"/>
  <c r="M137" i="2"/>
  <c r="N137" i="2"/>
  <c r="L138" i="2"/>
  <c r="M138" i="2" s="1"/>
  <c r="N138" i="2"/>
  <c r="L139" i="2"/>
  <c r="M139" i="2" s="1"/>
  <c r="N139" i="2" s="1"/>
  <c r="L140" i="2"/>
  <c r="M140" i="2" s="1"/>
  <c r="N140" i="2" s="1"/>
  <c r="L141" i="2"/>
  <c r="M141" i="2"/>
  <c r="N141" i="2" s="1"/>
  <c r="L142" i="2"/>
  <c r="M142" i="2" s="1"/>
  <c r="N142" i="2" s="1"/>
  <c r="L147" i="2"/>
  <c r="M147" i="2" s="1"/>
  <c r="N147" i="2" s="1"/>
  <c r="L148" i="2"/>
  <c r="M148" i="2" s="1"/>
  <c r="N148" i="2" s="1"/>
  <c r="L149" i="2"/>
  <c r="M149" i="2" s="1"/>
  <c r="N149" i="2" s="1"/>
  <c r="L150" i="2"/>
  <c r="M150" i="2" s="1"/>
  <c r="N150" i="2" s="1"/>
  <c r="L151" i="2"/>
  <c r="M151" i="2" s="1"/>
  <c r="N151" i="2" s="1"/>
  <c r="L152" i="2"/>
  <c r="M152" i="2" s="1"/>
  <c r="N152" i="2" s="1"/>
  <c r="R32" i="2" l="1"/>
  <c r="R33" i="2" s="1"/>
  <c r="R34" i="2" s="1"/>
  <c r="R35" i="2" s="1"/>
  <c r="R36" i="2" s="1"/>
  <c r="R37" i="2" s="1"/>
  <c r="R38" i="2" s="1"/>
  <c r="R39" i="2" s="1"/>
  <c r="R40" i="2" s="1"/>
  <c r="R41" i="2" s="1"/>
  <c r="R42" i="2" s="1"/>
  <c r="R43" i="2" s="1"/>
  <c r="R44" i="2" s="1"/>
  <c r="R45" i="2" s="1"/>
  <c r="R46" i="2" s="1"/>
  <c r="R47" i="2" s="1"/>
  <c r="R48" i="2" s="1"/>
  <c r="R49" i="2" s="1"/>
  <c r="R50" i="2" s="1"/>
  <c r="R51" i="2" s="1"/>
  <c r="R52" i="2" s="1"/>
  <c r="R53" i="2" s="1"/>
  <c r="R54" i="2" s="1"/>
  <c r="R55" i="2" s="1"/>
  <c r="R56" i="2" s="1"/>
  <c r="R57" i="2" s="1"/>
  <c r="R58" i="2" s="1"/>
  <c r="R59" i="2" s="1"/>
  <c r="R60" i="2" s="1"/>
  <c r="D72" i="2"/>
  <c r="B72" i="2" s="1"/>
  <c r="C72" i="2" s="1"/>
  <c r="H42" i="3"/>
  <c r="I42" i="3" s="1"/>
  <c r="M77" i="2"/>
  <c r="R29" i="2"/>
  <c r="R3" i="2"/>
  <c r="R30" i="3" s="1"/>
  <c r="K13" i="2"/>
  <c r="M74" i="2"/>
  <c r="L74" i="2" s="1"/>
  <c r="H76" i="2" s="1"/>
  <c r="B89" i="2" s="1"/>
  <c r="H1" i="3" s="1"/>
  <c r="G8" i="8" s="1"/>
  <c r="H20" i="3"/>
  <c r="I20" i="3" s="1"/>
  <c r="R4" i="2"/>
  <c r="B3" i="4"/>
  <c r="F8" i="8"/>
  <c r="D16" i="8" s="1"/>
  <c r="N30" i="3"/>
  <c r="L3" i="7"/>
  <c r="E26" i="8"/>
  <c r="E23" i="8"/>
  <c r="I12" i="8"/>
  <c r="I14" i="8" s="1"/>
  <c r="J14" i="8" s="1"/>
  <c r="K14" i="8" s="1"/>
  <c r="N9" i="2"/>
  <c r="R90" i="2"/>
  <c r="Q91" i="2"/>
  <c r="N3" i="7"/>
  <c r="H3" i="3"/>
  <c r="E4" i="3"/>
  <c r="H4" i="3" s="1"/>
  <c r="N32" i="3"/>
  <c r="L4" i="7"/>
  <c r="L5" i="7"/>
  <c r="T78" i="2"/>
  <c r="T79" i="2" s="1"/>
  <c r="N153" i="2"/>
  <c r="M75" i="2" s="1"/>
  <c r="D73" i="2" l="1"/>
  <c r="E73" i="2" s="1"/>
  <c r="C76" i="2" s="1"/>
  <c r="E76" i="2" s="1"/>
  <c r="B81" i="2" s="1"/>
  <c r="C85" i="2" s="1"/>
  <c r="B87" i="2"/>
  <c r="N4" i="7"/>
  <c r="R31" i="3"/>
  <c r="F23" i="8"/>
  <c r="G23" i="8" s="1"/>
  <c r="I23" i="8" s="1"/>
  <c r="F26" i="8"/>
  <c r="G26" i="8" s="1"/>
  <c r="I26" i="8" s="1"/>
  <c r="J26" i="8" s="1"/>
  <c r="K26" i="8" s="1"/>
  <c r="L86" i="2"/>
  <c r="M86" i="2" s="1"/>
  <c r="F10" i="8"/>
  <c r="D12" i="7" s="1"/>
  <c r="S90" i="2"/>
  <c r="S92" i="2" s="1"/>
  <c r="R91" i="2"/>
  <c r="N10" i="2"/>
  <c r="AH90" i="2"/>
  <c r="I4" i="3"/>
  <c r="F42" i="3" s="1"/>
  <c r="E42" i="3" s="1"/>
  <c r="E45" i="3" s="1"/>
  <c r="M36" i="3"/>
  <c r="O9" i="2"/>
  <c r="K12" i="7"/>
  <c r="I3" i="3"/>
  <c r="F20" i="3" s="1"/>
  <c r="E20" i="3" s="1"/>
  <c r="E23" i="3" s="1"/>
  <c r="L14" i="8"/>
  <c r="M14" i="8" s="1"/>
  <c r="K15" i="8"/>
  <c r="L15" i="8" s="1"/>
  <c r="M15" i="8" s="1"/>
  <c r="Q92" i="2"/>
  <c r="R92" i="2"/>
  <c r="B85" i="2" l="1"/>
  <c r="B90" i="2" s="1"/>
  <c r="L75" i="2" s="1"/>
  <c r="D85" i="2"/>
  <c r="I27" i="8"/>
  <c r="I28" i="8" s="1"/>
  <c r="J28" i="8" s="1"/>
  <c r="J23" i="8"/>
  <c r="N36" i="3"/>
  <c r="L12" i="7"/>
  <c r="N50" i="7"/>
  <c r="R93" i="2"/>
  <c r="AH91" i="2"/>
  <c r="AH94" i="2" s="1"/>
  <c r="M13" i="7"/>
  <c r="AG91" i="2"/>
  <c r="AG94" i="2" s="1"/>
  <c r="Q93" i="2"/>
  <c r="M12" i="7"/>
  <c r="AI91" i="2"/>
  <c r="AI94" i="2" s="1"/>
  <c r="M14" i="7"/>
  <c r="S93" i="2"/>
  <c r="O10" i="2"/>
  <c r="M37" i="3"/>
  <c r="K13" i="7"/>
  <c r="G50" i="7"/>
  <c r="E51" i="3"/>
  <c r="T90" i="2"/>
  <c r="N11" i="2"/>
  <c r="S91" i="2"/>
  <c r="AI90" i="2"/>
  <c r="M38" i="3" l="1"/>
  <c r="K14" i="7"/>
  <c r="O11" i="2"/>
  <c r="L13" i="7"/>
  <c r="N37" i="3"/>
  <c r="AH95" i="2"/>
  <c r="AH96" i="2"/>
  <c r="U90" i="2"/>
  <c r="AJ90" i="2"/>
  <c r="T91" i="2"/>
  <c r="N12" i="2"/>
  <c r="T92" i="2"/>
  <c r="N14" i="7"/>
  <c r="S94" i="2"/>
  <c r="R94" i="2"/>
  <c r="N13" i="7"/>
  <c r="N37" i="7"/>
  <c r="AI96" i="2"/>
  <c r="AI95" i="2"/>
  <c r="N12" i="7"/>
  <c r="Q94" i="2"/>
  <c r="AG95" i="2"/>
  <c r="AG96" i="2"/>
  <c r="N13" i="2" l="1"/>
  <c r="U91" i="2"/>
  <c r="AK90" i="2"/>
  <c r="V90" i="2"/>
  <c r="U92" i="2"/>
  <c r="O13" i="7"/>
  <c r="R95" i="2"/>
  <c r="R96" i="2" s="1"/>
  <c r="Q10" i="2" s="1"/>
  <c r="R99" i="2"/>
  <c r="R100" i="2" s="1"/>
  <c r="R101" i="2" s="1"/>
  <c r="R112" i="2"/>
  <c r="R113" i="2" s="1"/>
  <c r="R114" i="2" s="1"/>
  <c r="O14" i="7"/>
  <c r="S95" i="2"/>
  <c r="S96" i="2" s="1"/>
  <c r="Q11" i="2" s="1"/>
  <c r="S99" i="2"/>
  <c r="S100" i="2" s="1"/>
  <c r="S101" i="2" s="1"/>
  <c r="S112" i="2"/>
  <c r="S113" i="2" s="1"/>
  <c r="S114" i="2" s="1"/>
  <c r="O12" i="7"/>
  <c r="Q112" i="2"/>
  <c r="Q113" i="2" s="1"/>
  <c r="Q114" i="2" s="1"/>
  <c r="Q99" i="2"/>
  <c r="Q100" i="2" s="1"/>
  <c r="Q101" i="2" s="1"/>
  <c r="Q95" i="2"/>
  <c r="Q96" i="2" s="1"/>
  <c r="Q9" i="2" s="1"/>
  <c r="T93" i="2"/>
  <c r="AJ91" i="2"/>
  <c r="AJ94" i="2" s="1"/>
  <c r="M15" i="7"/>
  <c r="O12" i="2"/>
  <c r="M39" i="3"/>
  <c r="K15" i="7"/>
  <c r="N38" i="3"/>
  <c r="L14" i="7"/>
  <c r="AK91" i="2" l="1"/>
  <c r="AK94" i="2" s="1"/>
  <c r="U93" i="2"/>
  <c r="M16" i="7"/>
  <c r="S103" i="2"/>
  <c r="S107" i="2" s="1"/>
  <c r="S102" i="2"/>
  <c r="P11" i="2" s="1"/>
  <c r="S104" i="2"/>
  <c r="Q102" i="2"/>
  <c r="P9" i="2" s="1"/>
  <c r="Q103" i="2"/>
  <c r="Q107" i="2" s="1"/>
  <c r="Q104" i="2"/>
  <c r="R102" i="2"/>
  <c r="P10" i="2" s="1"/>
  <c r="R103" i="2"/>
  <c r="R107" i="2" s="1"/>
  <c r="R104" i="2"/>
  <c r="Q37" i="3"/>
  <c r="Q13" i="7"/>
  <c r="AJ95" i="2"/>
  <c r="AJ96" i="2"/>
  <c r="Q14" i="7"/>
  <c r="Q38" i="3"/>
  <c r="N39" i="3"/>
  <c r="L15" i="7"/>
  <c r="N14" i="2"/>
  <c r="W90" i="2"/>
  <c r="V91" i="2"/>
  <c r="AL90" i="2"/>
  <c r="V92" i="2"/>
  <c r="T94" i="2"/>
  <c r="N15" i="7"/>
  <c r="Q36" i="3"/>
  <c r="Q12" i="7"/>
  <c r="O13" i="2"/>
  <c r="M40" i="3"/>
  <c r="K16" i="7"/>
  <c r="P36" i="3" l="1"/>
  <c r="P12" i="7"/>
  <c r="N40" i="3"/>
  <c r="L16" i="7"/>
  <c r="W91" i="2"/>
  <c r="AM90" i="2"/>
  <c r="N15" i="2"/>
  <c r="X90" i="2"/>
  <c r="W92" i="2"/>
  <c r="Q109" i="2"/>
  <c r="S9" i="2" s="1"/>
  <c r="Q108" i="2"/>
  <c r="R9" i="2" s="1"/>
  <c r="S108" i="2"/>
  <c r="R11" i="2" s="1"/>
  <c r="S109" i="2"/>
  <c r="S11" i="2" s="1"/>
  <c r="R108" i="2"/>
  <c r="R10" i="2" s="1"/>
  <c r="R109" i="2"/>
  <c r="S10" i="2" s="1"/>
  <c r="M41" i="3"/>
  <c r="O14" i="2"/>
  <c r="K17" i="7"/>
  <c r="P14" i="7"/>
  <c r="P38" i="3"/>
  <c r="O15" i="7"/>
  <c r="T112" i="2"/>
  <c r="T113" i="2" s="1"/>
  <c r="T114" i="2" s="1"/>
  <c r="T99" i="2"/>
  <c r="T100" i="2" s="1"/>
  <c r="T101" i="2" s="1"/>
  <c r="T95" i="2"/>
  <c r="T96" i="2" s="1"/>
  <c r="Q12" i="2" s="1"/>
  <c r="P13" i="7"/>
  <c r="P37" i="3"/>
  <c r="N16" i="7"/>
  <c r="U94" i="2"/>
  <c r="V93" i="2"/>
  <c r="M17" i="7"/>
  <c r="AL91" i="2"/>
  <c r="AL94" i="2" s="1"/>
  <c r="AK96" i="2"/>
  <c r="AK95" i="2"/>
  <c r="AL96" i="2" l="1"/>
  <c r="AL95" i="2"/>
  <c r="R37" i="3"/>
  <c r="R13" i="7"/>
  <c r="Y90" i="2"/>
  <c r="N16" i="2"/>
  <c r="X91" i="2"/>
  <c r="AN90" i="2"/>
  <c r="X92" i="2"/>
  <c r="M42" i="3"/>
  <c r="K18" i="7"/>
  <c r="O15" i="2"/>
  <c r="Q32" i="2"/>
  <c r="R14" i="7"/>
  <c r="R38" i="3"/>
  <c r="R36" i="3"/>
  <c r="R12" i="7"/>
  <c r="Q39" i="3"/>
  <c r="Q15" i="7"/>
  <c r="V94" i="2"/>
  <c r="N17" i="7"/>
  <c r="S12" i="7"/>
  <c r="S36" i="3"/>
  <c r="T102" i="2"/>
  <c r="P12" i="2" s="1"/>
  <c r="T103" i="2"/>
  <c r="T107" i="2" s="1"/>
  <c r="T104" i="2"/>
  <c r="S37" i="3"/>
  <c r="S13" i="7"/>
  <c r="S38" i="3"/>
  <c r="S14" i="7"/>
  <c r="U95" i="2"/>
  <c r="U96" i="2" s="1"/>
  <c r="Q13" i="2" s="1"/>
  <c r="U99" i="2"/>
  <c r="U100" i="2" s="1"/>
  <c r="U101" i="2" s="1"/>
  <c r="O16" i="7"/>
  <c r="U112" i="2"/>
  <c r="U113" i="2" s="1"/>
  <c r="U114" i="2" s="1"/>
  <c r="N41" i="3"/>
  <c r="L17" i="7"/>
  <c r="W93" i="2"/>
  <c r="M18" i="7"/>
  <c r="AM91" i="2"/>
  <c r="AM94" i="2" s="1"/>
  <c r="U102" i="2" l="1"/>
  <c r="P13" i="2" s="1"/>
  <c r="U103" i="2"/>
  <c r="U107" i="2" s="1"/>
  <c r="U104" i="2"/>
  <c r="AM96" i="2"/>
  <c r="AM95" i="2"/>
  <c r="O16" i="2"/>
  <c r="K19" i="7"/>
  <c r="M43" i="3"/>
  <c r="Q53" i="2"/>
  <c r="P53" i="2" s="1"/>
  <c r="P32" i="2"/>
  <c r="Q46" i="2"/>
  <c r="P46" i="2" s="1"/>
  <c r="Q37" i="2"/>
  <c r="P37" i="2" s="1"/>
  <c r="Q33" i="2"/>
  <c r="P33" i="2" s="1"/>
  <c r="Q60" i="2"/>
  <c r="P60" i="2" s="1"/>
  <c r="Q57" i="2"/>
  <c r="P57" i="2" s="1"/>
  <c r="Q54" i="2"/>
  <c r="P54" i="2" s="1"/>
  <c r="Q51" i="2"/>
  <c r="P51" i="2" s="1"/>
  <c r="Q43" i="2"/>
  <c r="P43" i="2" s="1"/>
  <c r="Q34" i="2"/>
  <c r="P34" i="2" s="1"/>
  <c r="Q45" i="2"/>
  <c r="P45" i="2" s="1"/>
  <c r="Q36" i="2"/>
  <c r="P36" i="2" s="1"/>
  <c r="Q56" i="2"/>
  <c r="P56" i="2" s="1"/>
  <c r="Q48" i="2"/>
  <c r="P48" i="2" s="1"/>
  <c r="Q39" i="2"/>
  <c r="P39" i="2" s="1"/>
  <c r="Q59" i="2"/>
  <c r="P59" i="2" s="1"/>
  <c r="Q47" i="2"/>
  <c r="P47" i="2" s="1"/>
  <c r="Q38" i="2"/>
  <c r="P38" i="2" s="1"/>
  <c r="Q52" i="2"/>
  <c r="P52" i="2" s="1"/>
  <c r="Q44" i="2"/>
  <c r="P44" i="2" s="1"/>
  <c r="Q35" i="2"/>
  <c r="P35" i="2" s="1"/>
  <c r="Q55" i="2"/>
  <c r="P55" i="2" s="1"/>
  <c r="Q50" i="2"/>
  <c r="P50" i="2" s="1"/>
  <c r="Q41" i="2"/>
  <c r="P41" i="2" s="1"/>
  <c r="Q42" i="2"/>
  <c r="P42" i="2" s="1"/>
  <c r="S42" i="2" s="1"/>
  <c r="Q58" i="2"/>
  <c r="P58" i="2" s="1"/>
  <c r="Q49" i="2"/>
  <c r="P49" i="2" s="1"/>
  <c r="Q40" i="2"/>
  <c r="P40" i="2" s="1"/>
  <c r="V95" i="2"/>
  <c r="V96" i="2" s="1"/>
  <c r="Q14" i="2" s="1"/>
  <c r="V112" i="2"/>
  <c r="V113" i="2" s="1"/>
  <c r="V114" i="2" s="1"/>
  <c r="O17" i="7"/>
  <c r="V99" i="2"/>
  <c r="V100" i="2" s="1"/>
  <c r="V101" i="2" s="1"/>
  <c r="P26" i="3"/>
  <c r="F23" i="3"/>
  <c r="O26" i="3"/>
  <c r="F45" i="3"/>
  <c r="P39" i="3"/>
  <c r="P15" i="7"/>
  <c r="Q40" i="3"/>
  <c r="Q16" i="7"/>
  <c r="W94" i="2"/>
  <c r="N18" i="7"/>
  <c r="N17" i="2"/>
  <c r="Z90" i="2"/>
  <c r="AO90" i="2"/>
  <c r="Y91" i="2"/>
  <c r="Y92" i="2"/>
  <c r="N42" i="3"/>
  <c r="L18" i="7"/>
  <c r="T108" i="2"/>
  <c r="R12" i="2" s="1"/>
  <c r="T109" i="2"/>
  <c r="S12" i="2" s="1"/>
  <c r="M19" i="7"/>
  <c r="X93" i="2"/>
  <c r="AN91" i="2"/>
  <c r="AN94" i="2" s="1"/>
  <c r="S47" i="2" l="1"/>
  <c r="S43" i="2"/>
  <c r="S41" i="2"/>
  <c r="S51" i="2"/>
  <c r="S50" i="2"/>
  <c r="S39" i="2"/>
  <c r="S54" i="2"/>
  <c r="S55" i="2"/>
  <c r="S48" i="2"/>
  <c r="S57" i="2"/>
  <c r="S35" i="2"/>
  <c r="S56" i="2"/>
  <c r="S60" i="2"/>
  <c r="S59" i="2"/>
  <c r="S40" i="2"/>
  <c r="S44" i="2"/>
  <c r="S36" i="2"/>
  <c r="S33" i="2"/>
  <c r="S49" i="2"/>
  <c r="S52" i="2"/>
  <c r="S45" i="2"/>
  <c r="S37" i="2"/>
  <c r="S58" i="2"/>
  <c r="S38" i="2"/>
  <c r="S34" i="2"/>
  <c r="S46" i="2"/>
  <c r="AO91" i="2"/>
  <c r="AO94" i="2" s="1"/>
  <c r="Y93" i="2"/>
  <c r="M20" i="7"/>
  <c r="N19" i="7"/>
  <c r="X94" i="2"/>
  <c r="Q17" i="7"/>
  <c r="Q41" i="3"/>
  <c r="N43" i="3"/>
  <c r="L19" i="7"/>
  <c r="R15" i="7"/>
  <c r="R39" i="3"/>
  <c r="F36" i="3"/>
  <c r="E52" i="3"/>
  <c r="G52" i="7"/>
  <c r="H23" i="3"/>
  <c r="G23" i="3"/>
  <c r="N52" i="7"/>
  <c r="G45" i="3"/>
  <c r="H45" i="3"/>
  <c r="U108" i="2"/>
  <c r="R13" i="2" s="1"/>
  <c r="U109" i="2"/>
  <c r="S13" i="2" s="1"/>
  <c r="AN95" i="2"/>
  <c r="AN96" i="2"/>
  <c r="AA90" i="2"/>
  <c r="Z91" i="2"/>
  <c r="AP90" i="2"/>
  <c r="N18" i="2"/>
  <c r="Z92" i="2"/>
  <c r="S15" i="7"/>
  <c r="S39" i="3"/>
  <c r="M44" i="3"/>
  <c r="K20" i="7"/>
  <c r="O17" i="2"/>
  <c r="W95" i="2"/>
  <c r="W96" i="2" s="1"/>
  <c r="Q15" i="2" s="1"/>
  <c r="O18" i="7"/>
  <c r="W99" i="2"/>
  <c r="W100" i="2" s="1"/>
  <c r="W101" i="2" s="1"/>
  <c r="W112" i="2"/>
  <c r="W113" i="2" s="1"/>
  <c r="W114" i="2" s="1"/>
  <c r="V102" i="2"/>
  <c r="P14" i="2" s="1"/>
  <c r="V103" i="2"/>
  <c r="V107" i="2" s="1"/>
  <c r="V104" i="2"/>
  <c r="S53" i="2"/>
  <c r="P16" i="7"/>
  <c r="P40" i="3"/>
  <c r="V109" i="2" l="1"/>
  <c r="S14" i="2" s="1"/>
  <c r="V108" i="2"/>
  <c r="R14" i="2" s="1"/>
  <c r="P17" i="7"/>
  <c r="P41" i="3"/>
  <c r="G56" i="7"/>
  <c r="G54" i="7"/>
  <c r="H54" i="7"/>
  <c r="M45" i="3"/>
  <c r="K21" i="7"/>
  <c r="O18" i="2"/>
  <c r="AB90" i="2"/>
  <c r="N19" i="2"/>
  <c r="AQ90" i="2"/>
  <c r="AA91" i="2"/>
  <c r="AA92" i="2"/>
  <c r="N39" i="7"/>
  <c r="E54" i="3"/>
  <c r="E56" i="3"/>
  <c r="AP91" i="2"/>
  <c r="M21" i="7"/>
  <c r="Z93" i="2"/>
  <c r="N20" i="7"/>
  <c r="Y94" i="2"/>
  <c r="S16" i="7"/>
  <c r="S40" i="3"/>
  <c r="X95" i="2"/>
  <c r="X96" i="2" s="1"/>
  <c r="Q16" i="2" s="1"/>
  <c r="X112" i="2"/>
  <c r="X113" i="2" s="1"/>
  <c r="X114" i="2" s="1"/>
  <c r="X99" i="2"/>
  <c r="X100" i="2" s="1"/>
  <c r="X101" i="2" s="1"/>
  <c r="O19" i="7"/>
  <c r="W103" i="2"/>
  <c r="W107" i="2" s="1"/>
  <c r="W102" i="2"/>
  <c r="P15" i="2" s="1"/>
  <c r="W104" i="2"/>
  <c r="R40" i="3"/>
  <c r="R16" i="7"/>
  <c r="Q18" i="7"/>
  <c r="Q42" i="3"/>
  <c r="L20" i="7"/>
  <c r="N44" i="3"/>
  <c r="O54" i="7"/>
  <c r="N54" i="7"/>
  <c r="N56" i="7"/>
  <c r="AO95" i="2"/>
  <c r="AO96" i="2"/>
  <c r="AA93" i="2" l="1"/>
  <c r="AQ91" i="2"/>
  <c r="AQ94" i="2" s="1"/>
  <c r="M22" i="7"/>
  <c r="AP94" i="2"/>
  <c r="AP98" i="2"/>
  <c r="AP99" i="2" s="1"/>
  <c r="AP102" i="2" s="1"/>
  <c r="N20" i="2"/>
  <c r="AC90" i="2"/>
  <c r="AR90" i="2"/>
  <c r="AB91" i="2"/>
  <c r="AB92" i="2"/>
  <c r="O19" i="2"/>
  <c r="M46" i="3"/>
  <c r="K22" i="7"/>
  <c r="Q43" i="3"/>
  <c r="Q19" i="7"/>
  <c r="L21" i="7"/>
  <c r="N45" i="3"/>
  <c r="R17" i="7"/>
  <c r="R41" i="3"/>
  <c r="O41" i="7"/>
  <c r="N43" i="7"/>
  <c r="N41" i="7"/>
  <c r="P42" i="3"/>
  <c r="P18" i="7"/>
  <c r="Y99" i="2"/>
  <c r="Y100" i="2" s="1"/>
  <c r="Y101" i="2" s="1"/>
  <c r="Y112" i="2"/>
  <c r="Y113" i="2" s="1"/>
  <c r="Y114" i="2" s="1"/>
  <c r="Y95" i="2"/>
  <c r="Y96" i="2" s="1"/>
  <c r="Q17" i="2" s="1"/>
  <c r="O20" i="7"/>
  <c r="W109" i="2"/>
  <c r="S15" i="2" s="1"/>
  <c r="W108" i="2"/>
  <c r="R15" i="2" s="1"/>
  <c r="N21" i="7"/>
  <c r="Z94" i="2"/>
  <c r="X103" i="2"/>
  <c r="X107" i="2" s="1"/>
  <c r="X102" i="2"/>
  <c r="P16" i="2" s="1"/>
  <c r="X104" i="2"/>
  <c r="S41" i="3"/>
  <c r="S17" i="7"/>
  <c r="M47" i="3" l="1"/>
  <c r="O20" i="2"/>
  <c r="N47" i="3" s="1"/>
  <c r="AD90" i="2"/>
  <c r="AS90" i="2"/>
  <c r="N21" i="2"/>
  <c r="AC91" i="2"/>
  <c r="AC92" i="2"/>
  <c r="Q44" i="3"/>
  <c r="Q20" i="7"/>
  <c r="N46" i="3"/>
  <c r="L22" i="7"/>
  <c r="Z99" i="2"/>
  <c r="Z100" i="2" s="1"/>
  <c r="Z101" i="2" s="1"/>
  <c r="O21" i="7"/>
  <c r="Z95" i="2"/>
  <c r="Z96" i="2" s="1"/>
  <c r="Q18" i="2" s="1"/>
  <c r="Z112" i="2"/>
  <c r="Z113" i="2" s="1"/>
  <c r="Z114" i="2" s="1"/>
  <c r="R42" i="3"/>
  <c r="R18" i="7"/>
  <c r="S42" i="3"/>
  <c r="S18" i="7"/>
  <c r="G35" i="7"/>
  <c r="G38" i="7"/>
  <c r="H38" i="7"/>
  <c r="AB93" i="2"/>
  <c r="AB94" i="2" s="1"/>
  <c r="AR91" i="2"/>
  <c r="AR94" i="2" s="1"/>
  <c r="AQ96" i="2"/>
  <c r="AQ95" i="2"/>
  <c r="AP95" i="2"/>
  <c r="AP96" i="2"/>
  <c r="P43" i="3"/>
  <c r="P19" i="7"/>
  <c r="X108" i="2"/>
  <c r="R16" i="2" s="1"/>
  <c r="X109" i="2"/>
  <c r="S16" i="2" s="1"/>
  <c r="Y102" i="2"/>
  <c r="P17" i="2" s="1"/>
  <c r="Y104" i="2"/>
  <c r="Y103" i="2"/>
  <c r="Y107" i="2" s="1"/>
  <c r="AA94" i="2"/>
  <c r="N22" i="7"/>
  <c r="S19" i="7" l="1"/>
  <c r="S43" i="3"/>
  <c r="Q45" i="3"/>
  <c r="Q21" i="7"/>
  <c r="AS91" i="2"/>
  <c r="AS94" i="2" s="1"/>
  <c r="AC93" i="2"/>
  <c r="AC94" i="2" s="1"/>
  <c r="O22" i="7"/>
  <c r="AA95" i="2"/>
  <c r="AA96" i="2" s="1"/>
  <c r="Q19" i="2" s="1"/>
  <c r="AA112" i="2"/>
  <c r="AA113" i="2" s="1"/>
  <c r="AA114" i="2" s="1"/>
  <c r="AA99" i="2"/>
  <c r="AA100" i="2" s="1"/>
  <c r="AA101" i="2" s="1"/>
  <c r="Y109" i="2"/>
  <c r="S17" i="2" s="1"/>
  <c r="Y108" i="2"/>
  <c r="R17" i="2" s="1"/>
  <c r="N22" i="2"/>
  <c r="AT90" i="2"/>
  <c r="AD91" i="2"/>
  <c r="AD92" i="2"/>
  <c r="AR96" i="2"/>
  <c r="AR95" i="2"/>
  <c r="R43" i="3"/>
  <c r="R19" i="7"/>
  <c r="M48" i="3"/>
  <c r="O21" i="2"/>
  <c r="N48" i="3" s="1"/>
  <c r="Z104" i="2"/>
  <c r="Z103" i="2"/>
  <c r="Z107" i="2" s="1"/>
  <c r="Z102" i="2"/>
  <c r="P18" i="2" s="1"/>
  <c r="AB95" i="2"/>
  <c r="AB96" i="2" s="1"/>
  <c r="Q20" i="2" s="1"/>
  <c r="Q47" i="3" s="1"/>
  <c r="AB99" i="2"/>
  <c r="AB100" i="2" s="1"/>
  <c r="AB101" i="2" s="1"/>
  <c r="AB112" i="2"/>
  <c r="AB113" i="2" s="1"/>
  <c r="AB114" i="2" s="1"/>
  <c r="P44" i="3"/>
  <c r="P20" i="7"/>
  <c r="AD93" i="2" l="1"/>
  <c r="AD94" i="2" s="1"/>
  <c r="AT91" i="2"/>
  <c r="AT94" i="2" s="1"/>
  <c r="AT96" i="2" s="1"/>
  <c r="AC99" i="2"/>
  <c r="AC100" i="2" s="1"/>
  <c r="AC101" i="2" s="1"/>
  <c r="AC112" i="2"/>
  <c r="AC113" i="2" s="1"/>
  <c r="AC114" i="2" s="1"/>
  <c r="AC95" i="2"/>
  <c r="AC96" i="2" s="1"/>
  <c r="Q21" i="2" s="1"/>
  <c r="Q48" i="3" s="1"/>
  <c r="AB102" i="2"/>
  <c r="P20" i="2" s="1"/>
  <c r="P47" i="3" s="1"/>
  <c r="AB103" i="2"/>
  <c r="AB107" i="2" s="1"/>
  <c r="AB104" i="2"/>
  <c r="S44" i="3"/>
  <c r="S20" i="7"/>
  <c r="Z108" i="2"/>
  <c r="R18" i="2" s="1"/>
  <c r="Z109" i="2"/>
  <c r="S18" i="2" s="1"/>
  <c r="O22" i="2"/>
  <c r="N49" i="3" s="1"/>
  <c r="M49" i="3"/>
  <c r="R20" i="7"/>
  <c r="R44" i="3"/>
  <c r="AA102" i="2"/>
  <c r="P19" i="2" s="1"/>
  <c r="AA103" i="2"/>
  <c r="AA107" i="2" s="1"/>
  <c r="AA104" i="2"/>
  <c r="Q46" i="3"/>
  <c r="Q22" i="7"/>
  <c r="AS96" i="2"/>
  <c r="AS95" i="2"/>
  <c r="P21" i="7"/>
  <c r="P45" i="3"/>
  <c r="S45" i="3" l="1"/>
  <c r="S21" i="7"/>
  <c r="R45" i="3"/>
  <c r="R21" i="7"/>
  <c r="AC103" i="2"/>
  <c r="AC107" i="2" s="1"/>
  <c r="AC102" i="2"/>
  <c r="P21" i="2" s="1"/>
  <c r="P48" i="3" s="1"/>
  <c r="AC104" i="2"/>
  <c r="AA108" i="2"/>
  <c r="R19" i="2" s="1"/>
  <c r="AA109" i="2"/>
  <c r="S19" i="2" s="1"/>
  <c r="AB109" i="2"/>
  <c r="S20" i="2" s="1"/>
  <c r="S47" i="3" s="1"/>
  <c r="AB108" i="2"/>
  <c r="R20" i="2" s="1"/>
  <c r="R47" i="3" s="1"/>
  <c r="P22" i="7"/>
  <c r="P9" i="7" s="1"/>
  <c r="L9" i="7" s="1"/>
  <c r="P46" i="3"/>
  <c r="AD99" i="2"/>
  <c r="AD100" i="2" s="1"/>
  <c r="AD101" i="2" s="1"/>
  <c r="AD95" i="2"/>
  <c r="AD96" i="2" s="1"/>
  <c r="Q22" i="2" s="1"/>
  <c r="Q49" i="3" s="1"/>
  <c r="AD112" i="2"/>
  <c r="AD113" i="2" s="1"/>
  <c r="AD114" i="2" s="1"/>
  <c r="AD102" i="2" l="1"/>
  <c r="P22" i="2" s="1"/>
  <c r="P49" i="3" s="1"/>
  <c r="AD103" i="2"/>
  <c r="AD107" i="2" s="1"/>
  <c r="AD104" i="2"/>
  <c r="AC109" i="2"/>
  <c r="S21" i="2" s="1"/>
  <c r="S48" i="3" s="1"/>
  <c r="AC108" i="2"/>
  <c r="R21" i="2" s="1"/>
  <c r="R48" i="3" s="1"/>
  <c r="R22" i="7"/>
  <c r="R46" i="3"/>
  <c r="S46" i="3"/>
  <c r="S22" i="7"/>
  <c r="AD109" i="2" l="1"/>
  <c r="S22" i="2" s="1"/>
  <c r="S49" i="3" s="1"/>
  <c r="AD108" i="2"/>
  <c r="R22" i="2" s="1"/>
  <c r="R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BA&amp;H User</author>
  </authors>
  <commentList>
    <comment ref="D24" authorId="0" shapeId="0" xr:uid="{00000000-0006-0000-0100-000001000000}">
      <text>
        <r>
          <rPr>
            <b/>
            <sz val="12"/>
            <color indexed="81"/>
            <rFont val="Arial Narrow"/>
            <family val="2"/>
          </rPr>
          <t>Note 1:  The number of engine rotors may be changed at cell location J77 "Number_Rotor".  You must unprotect the spreadsheet to do so.</t>
        </r>
        <r>
          <rPr>
            <b/>
            <sz val="8"/>
            <color indexed="81"/>
            <rFont val="Tahoma"/>
          </rPr>
          <t xml:space="preserve">
</t>
        </r>
      </text>
    </comment>
    <comment ref="D25" authorId="0" shapeId="0" xr:uid="{00000000-0006-0000-0100-000002000000}">
      <text>
        <r>
          <rPr>
            <b/>
            <sz val="12"/>
            <color indexed="81"/>
            <rFont val="Arial Narrow"/>
            <family val="2"/>
          </rPr>
          <t xml:space="preserve"> 'Note2:  You will need to change the fuel injection parameters if the nominal ones do not come close to your design. This is done in the Calculation section under "Injector Parameters".  You will need to unprotect the spreadsheet to do so.  These parameters do not effect the power calculations, but the power calculations do impact the injection timing.</t>
        </r>
        <r>
          <rPr>
            <sz val="8"/>
            <color indexed="81"/>
            <rFont val="Tahoma"/>
          </rPr>
          <t xml:space="preserve">
</t>
        </r>
      </text>
    </comment>
    <comment ref="D26" authorId="0" shapeId="0" xr:uid="{00000000-0006-0000-0100-000003000000}">
      <text>
        <r>
          <rPr>
            <b/>
            <sz val="12"/>
            <color indexed="81"/>
            <rFont val="Arial Narrow"/>
            <family val="2"/>
          </rPr>
          <t xml:space="preserve">Note 3:  It is assumed that of the energy content of the fuel is allocated as follows:
Useful Power 25%
Coolant Loss  25%
Exhaust Loss 50%
If you desire different allocation change the percentages under BTU Produced Section. You must unprotect the spreadsheet to do so.
</t>
        </r>
        <r>
          <rPr>
            <sz val="8"/>
            <color indexed="81"/>
            <rFont val="Tahoma"/>
          </rPr>
          <t xml:space="preserve">
</t>
        </r>
      </text>
    </comment>
    <comment ref="D27" authorId="0" shapeId="0" xr:uid="{00000000-0006-0000-0100-000004000000}">
      <text>
        <r>
          <rPr>
            <b/>
            <sz val="12"/>
            <color indexed="81"/>
            <rFont val="Arial Narrow"/>
            <family val="2"/>
          </rPr>
          <t>Note 4:  The assumed Max power value in cell N29 is set at 160 in order to calculate % Engine Power.  If you assume an higher engine power then you need to change that value.</t>
        </r>
        <r>
          <rPr>
            <sz val="8"/>
            <color indexed="81"/>
            <rFont val="Tahoma"/>
          </rPr>
          <t xml:space="preserve">
</t>
        </r>
      </text>
    </comment>
    <comment ref="U77" authorId="0" shapeId="0" xr:uid="{00000000-0006-0000-0100-000005000000}">
      <text>
        <r>
          <rPr>
            <b/>
            <sz val="8"/>
            <color indexed="81"/>
            <rFont val="Tahoma"/>
          </rPr>
          <t xml:space="preserve">25 Jan 99 NOTE:  The following earlier note (19 Jan 99) raised an issue that has now been resolved.  Each rotor does displaces 120 CID of air per rotor rotation, or Nx120 where N= number of rotors.  So for a 2 rotor 13B, the total displacement during one revolution is 2X120=240 CID.  Read the remainder if interested in the previous argument over this matter.
19 Jan 99 Note:  There is some disagreement about how to calculate airflow for a rotor.  It appears to me that each the three faces of the rotor sweep the chamber area during one revolution of the rotor.    If each face is consider a piston then it is similar to a 3 piston 2 cycle engine. In thr rotor case, all three pistons use the same cylinder rather than having a separate cylinder. If you accept this hypothesis then:
For a 2 cycle 6piston engine (equivalent to two rotors)
40CID x6(pistons)=240CID Displacement.  Then for a 2 cycle engine at 2000 (rotor actual rotation speed at 6000 rpm eccentric shaft) rpm this becomes CIDxRPM/1728=CFM of airflow or 40CID x 6(pistons) x 2000 (rpm)/1728 = 277 CFM for a six cylinder (40 CID each) 2 cycle engine
Now for applying this hypothesis to the rotor motor.
40 (CID of one rotor) x 3 (faces)=120 CID displacement for one revolution.
Therefore, for two rotors this becomes
(40CID)X2(Number rotors)x3(faces)=240CID  per revolution 
The rotors turn at 1/3 the Eccentric shaft speed, from which:
(240 CID x (6000 rpm)x 1/3)/1728 (conversion factor) = </t>
        </r>
        <r>
          <rPr>
            <b/>
            <sz val="10"/>
            <color indexed="81"/>
            <rFont val="Tahoma"/>
            <family val="2"/>
          </rPr>
          <t>277 CFM</t>
        </r>
        <r>
          <rPr>
            <b/>
            <sz val="8"/>
            <color indexed="81"/>
            <rFont val="Tahoma"/>
          </rPr>
          <t xml:space="preserve"> which is close to what a 13B draws at 6000 rpm.
If you take the 80CID displacement give for the 13B and knowing the rotors turn at 1/3 the speed of the eccentric shaft, then at 6000 RPM for eccentric shaft the rotor turns 2000 rpm.  If you try 80CID X 2000 RPM/1728= 92 CFM which is clearly far below what the rotor flows at 6000 rpm.
Therefore, if the hypothesis of a rotor sweeping 3 times its volume in one revolution is incorrect (and it may be), I have no idea of the magic the rotor uses to get the airflow it does.
 </t>
        </r>
      </text>
    </comment>
    <comment ref="L117" authorId="0" shapeId="0" xr:uid="{00000000-0006-0000-0100-000006000000}">
      <text>
        <r>
          <rPr>
            <sz val="10"/>
            <color indexed="81"/>
            <rFont val="Tahoma"/>
            <family val="2"/>
          </rPr>
          <t xml:space="preserve">IF using staged injectors, the RPM value where all the injectors turn on.  Usually half of the total number of injectors are staged.  If 4 injectors then it stages from 2 injectors below set RPM to all 4 when staged above set RPM.
</t>
        </r>
      </text>
    </comment>
    <comment ref="L118" authorId="0" shapeId="0" xr:uid="{00000000-0006-0000-0100-000007000000}">
      <text>
        <r>
          <rPr>
            <b/>
            <sz val="8"/>
            <color indexed="81"/>
            <rFont val="Tahoma"/>
          </rPr>
          <t>Some EFIs use a trigger  "Divide-By" where not every trigger pulse triggers injection sequence, it may be ever 2, 3 or more trigger pulses before EFI triggers.</t>
        </r>
      </text>
    </comment>
    <comment ref="M121" authorId="0" shapeId="0" xr:uid="{00000000-0006-0000-0100-000008000000}">
      <text>
        <r>
          <rPr>
            <b/>
            <sz val="8"/>
            <color indexed="81"/>
            <rFont val="Tahoma"/>
          </rPr>
          <t>If the actual Fuel pressure is less than that called for by the injector flow rate then the injector does flow its rated fuel.</t>
        </r>
      </text>
    </comment>
  </commentList>
</comments>
</file>

<file path=xl/sharedStrings.xml><?xml version="1.0" encoding="utf-8"?>
<sst xmlns="http://schemas.openxmlformats.org/spreadsheetml/2006/main" count="576" uniqueCount="380">
  <si>
    <t>RPM</t>
  </si>
  <si>
    <t xml:space="preserve"> </t>
  </si>
  <si>
    <t>Parameter</t>
  </si>
  <si>
    <t>Units</t>
  </si>
  <si>
    <t>Value</t>
  </si>
  <si>
    <t>Conversion Values</t>
  </si>
  <si>
    <t>Lbm/Ft^3</t>
  </si>
  <si>
    <t>Gasoline Energy</t>
  </si>
  <si>
    <t>Fuel Mass Pf</t>
  </si>
  <si>
    <t>778 ft-lb</t>
  </si>
  <si>
    <t>1 Horse Power =</t>
  </si>
  <si>
    <t xml:space="preserve">550 ft-lb </t>
  </si>
  <si>
    <t>R = Number of Rotors</t>
  </si>
  <si>
    <t>Fuel/Air Ratio</t>
  </si>
  <si>
    <t xml:space="preserve">  Fuel</t>
  </si>
  <si>
    <t xml:space="preserve">  Air</t>
  </si>
  <si>
    <t>Vt Throttle % Open</t>
  </si>
  <si>
    <t>Operating parameters</t>
  </si>
  <si>
    <t>Air Flow CFM</t>
  </si>
  <si>
    <t>Air Flow Lbm/min</t>
  </si>
  <si>
    <t>Fuel Required LBM/Min</t>
  </si>
  <si>
    <t xml:space="preserve">  Gallon/Min</t>
  </si>
  <si>
    <t xml:space="preserve">  Gallon/Hour</t>
  </si>
  <si>
    <t xml:space="preserve">BTU/sec </t>
  </si>
  <si>
    <t>Torque Ft-lbs</t>
  </si>
  <si>
    <t>Horse Power (Total)</t>
  </si>
  <si>
    <t xml:space="preserve">  Useful</t>
  </si>
  <si>
    <t xml:space="preserve">  Cooling Loss</t>
  </si>
  <si>
    <t xml:space="preserve">  Exhaust Loss</t>
  </si>
  <si>
    <t>Cooling Requirements BTU/Min</t>
  </si>
  <si>
    <t xml:space="preserve">  Total Cooling Rejection BTU</t>
  </si>
  <si>
    <t xml:space="preserve">Injector timing </t>
  </si>
  <si>
    <t xml:space="preserve">  Fuel Required lbm/msec</t>
  </si>
  <si>
    <t>Injection Set Up Parameters</t>
  </si>
  <si>
    <t xml:space="preserve">  80% max Flow Rate Lbs/hr</t>
  </si>
  <si>
    <t xml:space="preserve">  Fuel Pressure actuall/45psi</t>
  </si>
  <si>
    <t xml:space="preserve">  Number of injectors</t>
  </si>
  <si>
    <t xml:space="preserve">  Flow Rate Lbs/msec per Injector</t>
  </si>
  <si>
    <t>Propeller RPM (PSRU Ratio = 2.17)</t>
  </si>
  <si>
    <t>RPM Start Value</t>
  </si>
  <si>
    <t>RPM Step Value</t>
  </si>
  <si>
    <t>Engine RPM/Airflow Calculations</t>
  </si>
  <si>
    <t>Intake 'Efficiency Ve</t>
  </si>
  <si>
    <t>Engine RPM (Calculation</t>
  </si>
  <si>
    <t>Power/Heat Calculations</t>
  </si>
  <si>
    <t xml:space="preserve">  Radiator = 2/3 of  Rejection</t>
  </si>
  <si>
    <t xml:space="preserve">  Oil Cooler = 1/3 of Rejection</t>
  </si>
  <si>
    <t xml:space="preserve">  Injectors Staged at (RPM) - User Value</t>
  </si>
  <si>
    <t xml:space="preserve">  On time Required per injector/msec</t>
  </si>
  <si>
    <t>These value</t>
  </si>
  <si>
    <t>only need to</t>
  </si>
  <si>
    <t>be entered</t>
  </si>
  <si>
    <t>once per</t>
  </si>
  <si>
    <t xml:space="preserve">engine </t>
  </si>
  <si>
    <t>configuration</t>
  </si>
  <si>
    <t>Step 1 Enter Air/Fuel Ratio (Air Value)</t>
  </si>
  <si>
    <t xml:space="preserve">  Ignition Divide by (Haltech) otherwise 1</t>
  </si>
  <si>
    <t>Once parameters are set for</t>
  </si>
  <si>
    <t>an engine configuration then</t>
  </si>
  <si>
    <t>Normally only need to vary RPM</t>
  </si>
  <si>
    <t>Perhaps fuel ratio</t>
  </si>
  <si>
    <t>Initial Engine RPM</t>
  </si>
  <si>
    <t>RPM Step</t>
  </si>
  <si>
    <t>26</t>
  </si>
  <si>
    <t>40</t>
  </si>
  <si>
    <t>Air Mass Pa (Sea Level)</t>
  </si>
  <si>
    <t>Standard (59F at 29.92)</t>
  </si>
  <si>
    <t>Temp F</t>
  </si>
  <si>
    <t>Density</t>
  </si>
  <si>
    <t>Ratio</t>
  </si>
  <si>
    <t>% Throttle Opening (Enter Percentage)</t>
  </si>
  <si>
    <t>Air Density Adjustment (Actual/Standard Air Density)</t>
  </si>
  <si>
    <t>Table for Adjusting Cooling Air density based on temp</t>
  </si>
  <si>
    <t>Spreadsheet for calculating Engine Power, BTU cooling, and injector Timing</t>
  </si>
  <si>
    <t>from Data Input-Results Spreadsheet</t>
  </si>
  <si>
    <t>HP</t>
  </si>
  <si>
    <t>Inches HG</t>
  </si>
  <si>
    <t>% Engine Power</t>
  </si>
  <si>
    <t>A/F Ratio</t>
  </si>
  <si>
    <t>Altitude</t>
  </si>
  <si>
    <t>Throttle</t>
  </si>
  <si>
    <t xml:space="preserve"> Assumed Max Engine Power</t>
  </si>
  <si>
    <t>Temperature</t>
  </si>
  <si>
    <t>Degrees F</t>
  </si>
  <si>
    <t>Eng RPM</t>
  </si>
  <si>
    <t>Prop RPM</t>
  </si>
  <si>
    <t>Air Flow Mass</t>
  </si>
  <si>
    <t>Fuel Flow Mass</t>
  </si>
  <si>
    <t>Gallon/Min</t>
  </si>
  <si>
    <t>Gallon/Hour</t>
  </si>
  <si>
    <t>Horse Power (Useful)</t>
  </si>
  <si>
    <t>HP Loss (Cooling)</t>
  </si>
  <si>
    <t>HP Loss (Exhaust)</t>
  </si>
  <si>
    <t>BTU Rejection Radiators</t>
  </si>
  <si>
    <t>BTU Rejection Oil Cooler</t>
  </si>
  <si>
    <t>Total Fuel flow Required (Lbm/min)</t>
  </si>
  <si>
    <t>BTU/Second</t>
  </si>
  <si>
    <t>Torque (Ft-Lbs)</t>
  </si>
  <si>
    <t>Specified Max RPM for Look Up Table</t>
  </si>
  <si>
    <t xml:space="preserve"> Enter Data</t>
  </si>
  <si>
    <t>Step 2 Enter RPM Start Value</t>
  </si>
  <si>
    <t>Step 3 Enter RPM Step Increment</t>
  </si>
  <si>
    <t>Step 4 Enter Throttle Opening %</t>
  </si>
  <si>
    <t>Step 6 Enter OAT F between 15 -100 in 5 degree increments</t>
  </si>
  <si>
    <t>Manifold Pressure/Power Estimates</t>
  </si>
  <si>
    <t>Enter Air Temperature (Select 15F - 100F, in 5 Degree  Increments)</t>
  </si>
  <si>
    <t xml:space="preserve">  Injector Flow Rate per Injector Lbs/hr</t>
  </si>
  <si>
    <t>Fuel Injection Parameters Note</t>
  </si>
  <si>
    <t>Number of Rotors</t>
  </si>
  <si>
    <t>Power Assumptions</t>
  </si>
  <si>
    <t>Calculation Results</t>
  </si>
  <si>
    <t>Calculation Parameters and Equations</t>
  </si>
  <si>
    <t>Default Values</t>
  </si>
  <si>
    <t>DATA ENTRY BOX</t>
  </si>
  <si>
    <t xml:space="preserve">  </t>
  </si>
  <si>
    <t>RESULTS</t>
  </si>
  <si>
    <t>Assumed Max Power</t>
  </si>
  <si>
    <t>NOTES  Below</t>
  </si>
  <si>
    <t>Radiator Cooler Heat Rejection Requirement BTU/Minute</t>
  </si>
  <si>
    <t>F = Faces Per Rotor</t>
  </si>
  <si>
    <t>Total Swept Chamber Volume per Rotor Rev - Single Rotor</t>
  </si>
  <si>
    <t>AirDisplacement per Rotor Revolution (Cubic Feet)</t>
  </si>
  <si>
    <t>VC=Rotor Chamber volume CID</t>
  </si>
  <si>
    <t>Read Note --&gt;</t>
  </si>
  <si>
    <t>Engines 13B (2 Rotors) , 20G (3 Rotors)</t>
  </si>
  <si>
    <t>Injector On time =</t>
  </si>
  <si>
    <t>Fuel Flow Required (Lbm/Millisecond) / Flow Rate (Lbm/Msec) per Injector * Factor for Number of Staged Injectors (Longer times for few injectors) * Inverse of Trigger Divide By</t>
  </si>
  <si>
    <t>This Spreadsheet is Protected to Preclude Inadvertent erasing of Formulas</t>
  </si>
  <si>
    <t>Air Fuel Mixture Ratio(Air Part)</t>
  </si>
  <si>
    <r>
      <t xml:space="preserve">Air Density   </t>
    </r>
    <r>
      <rPr>
        <sz val="10"/>
        <color indexed="9"/>
        <rFont val="Courier"/>
        <family val="3"/>
      </rPr>
      <t xml:space="preserve">                                                 Factor</t>
    </r>
  </si>
  <si>
    <t>19000 Btu/lbm-sec</t>
  </si>
  <si>
    <t>1 Btu =</t>
  </si>
  <si>
    <t>VCID=Total Displacement for N rotors per Rotor rev</t>
  </si>
  <si>
    <t xml:space="preserve">Throttle Opening and  </t>
  </si>
  <si>
    <t xml:space="preserve">  Total Fuel Flow Requirement Lbm/Min</t>
  </si>
  <si>
    <t>Fuel Flow Required (Lbm/Millisecond)</t>
  </si>
  <si>
    <t>On-time per Injector (Millisecond)</t>
  </si>
  <si>
    <t>Inverse/ratio</t>
  </si>
  <si>
    <t>AirFlow CFM</t>
  </si>
  <si>
    <t>Number Runners</t>
  </si>
  <si>
    <t>Runner Dia (inches)</t>
  </si>
  <si>
    <t>Runner Air Velocity(Feet/Sec)</t>
  </si>
  <si>
    <t>Runner Air Velocity MPH</t>
  </si>
  <si>
    <t>Runner Air Velocity (inches/sec)</t>
  </si>
  <si>
    <t>Developed by: Ed Anderson, eanderson@carolina.rr.com, Matthews NC</t>
  </si>
  <si>
    <t>Area</t>
  </si>
  <si>
    <t>Area ft^2</t>
  </si>
  <si>
    <t>fps</t>
  </si>
  <si>
    <t>cfpm</t>
  </si>
  <si>
    <t>cfps</t>
  </si>
  <si>
    <t>AF =</t>
  </si>
  <si>
    <t>Temp F =</t>
  </si>
  <si>
    <t>Altitude =</t>
  </si>
  <si>
    <t>Engine RPM</t>
  </si>
  <si>
    <t xml:space="preserve">Air Mass Pa  (Altitude MSL) </t>
  </si>
  <si>
    <t>Step 5 Enter MSL Operating Altitude in thousand of feet</t>
  </si>
  <si>
    <t xml:space="preserve">Compensate for altitude </t>
  </si>
  <si>
    <t>P2 psi Gauge</t>
  </si>
  <si>
    <t>Delta T Ideal</t>
  </si>
  <si>
    <t>Delta T Real</t>
  </si>
  <si>
    <t>T1 Inlet Temp F</t>
  </si>
  <si>
    <t>Compressor Efficiency</t>
  </si>
  <si>
    <t>T2 Oulet Temp F</t>
  </si>
  <si>
    <t>Temp Ratio</t>
  </si>
  <si>
    <t>Pressure Ratio</t>
  </si>
  <si>
    <t>Density Ratio</t>
  </si>
  <si>
    <t>Sea level air Density</t>
  </si>
  <si>
    <t>Altitude Density</t>
  </si>
  <si>
    <t>Turbo Density</t>
  </si>
  <si>
    <t>=L74*(-3*10^(-5)*$J$11+1)</t>
  </si>
  <si>
    <t>Turbo Charger Density Compensation</t>
  </si>
  <si>
    <t>Gear Ratio =</t>
  </si>
  <si>
    <t>MSL Altitude in feet</t>
  </si>
  <si>
    <t>P1 At Altitude</t>
  </si>
  <si>
    <t>Enter Boost (psi Gauge)  Calculations Compensate for Altitude</t>
  </si>
  <si>
    <t>Mazda Wankel Rotary Engine Performance Spreadsheet Version 1.5 Mar 2001</t>
  </si>
  <si>
    <r>
      <t xml:space="preserve">  FOR EDUCATIONAL AND ENTERTAINMENT PURPOSES ONLY </t>
    </r>
    <r>
      <rPr>
        <b/>
        <sz val="14"/>
        <rFont val="Arial Narrow"/>
        <family val="2"/>
      </rPr>
      <t xml:space="preserve">                                                                     </t>
    </r>
    <r>
      <rPr>
        <sz val="14"/>
        <rFont val="Arial Narrow"/>
        <family val="2"/>
      </rPr>
      <t>This spreadsheet is designed to provide first order estimates of engine power and BTU Heat rejection requirements for a Mazda Wankel 13B Normally aspired engine. It will provide an estimate for Sea Level Power and Power at Altitude MSL. Note: Engine load is not a computational factor, but can be approximated to some degree by varying the throttle setting.  Enter your desired parameters in the blue Data Input Box.  Copywrite @ January, 19, 1994</t>
    </r>
  </si>
  <si>
    <t>Step 7 Enter Gauge Boost in PSI (Note: No intercooler in calculation)</t>
  </si>
  <si>
    <t>Horse Power/Sec</t>
  </si>
  <si>
    <t>Total BTU Rejection  BTU/Sec</t>
  </si>
  <si>
    <t>Oil Cooler Heat Rejection Requirements BTU/Minute</t>
  </si>
  <si>
    <t>True Air Speed MPH</t>
  </si>
  <si>
    <t>Radiator</t>
  </si>
  <si>
    <t>lb/ft^3</t>
  </si>
  <si>
    <t>Ft/Sec</t>
  </si>
  <si>
    <t>Area in^2</t>
  </si>
  <si>
    <t>Air Flow</t>
  </si>
  <si>
    <t>Both Radiators</t>
  </si>
  <si>
    <t>Cp Btu/lbF</t>
  </si>
  <si>
    <t>Q Btu/Min</t>
  </si>
  <si>
    <t>Coolant</t>
  </si>
  <si>
    <t>13B Pump</t>
  </si>
  <si>
    <t>Oil Cooler</t>
  </si>
  <si>
    <t>Heat Rejection Capacity</t>
  </si>
  <si>
    <t>Btu/Min</t>
  </si>
  <si>
    <t>Choose Air Speed MPH</t>
  </si>
  <si>
    <t>Cp Air</t>
  </si>
  <si>
    <t>Cp Water</t>
  </si>
  <si>
    <t>Total BTU of Cooling Capacity</t>
  </si>
  <si>
    <t>Engine rpm =</t>
  </si>
  <si>
    <t>Excess Cooling Capacity</t>
  </si>
  <si>
    <t>Total BTU of Heat Rejection Needed</t>
  </si>
  <si>
    <t>Excess Cooling Capacity =</t>
  </si>
  <si>
    <t>Deficient Cooling Capacity =</t>
  </si>
  <si>
    <t>The excessive cooling capacity of the radiators apparently</t>
  </si>
  <si>
    <t xml:space="preserve">enables them to reject some of the heat not rejected by the </t>
  </si>
  <si>
    <t>oil cooler</t>
  </si>
  <si>
    <t>Radiators ---&gt;</t>
  </si>
  <si>
    <t>Oil cooler----&gt;</t>
  </si>
  <si>
    <t>Needed Heat Rejection</t>
  </si>
  <si>
    <t>Status</t>
  </si>
  <si>
    <t>Increase Pump Flow?</t>
  </si>
  <si>
    <t>Air Flow Cubic Feet Sec</t>
  </si>
  <si>
    <t>True Air Speed =</t>
  </si>
  <si>
    <t>Propeller</t>
  </si>
  <si>
    <t>Pitch</t>
  </si>
  <si>
    <t>Prop Performance based on Pitch</t>
  </si>
  <si>
    <t>True Air Speed</t>
  </si>
  <si>
    <t>Power and Heat Rejection Requirements Calculator</t>
  </si>
  <si>
    <t xml:space="preserve">Gear Ratio </t>
  </si>
  <si>
    <t>Number Rotors</t>
  </si>
  <si>
    <t>Number Rotors =</t>
  </si>
  <si>
    <t>Results</t>
  </si>
  <si>
    <t>Rotary Engine</t>
  </si>
  <si>
    <t>Cooling Capacity Calculator</t>
  </si>
  <si>
    <t>Indicated Air Speed =</t>
  </si>
  <si>
    <t xml:space="preserve">Indicated Air Speed </t>
  </si>
  <si>
    <t>Engine RPM of Operating Regime</t>
  </si>
  <si>
    <t>MPH</t>
  </si>
  <si>
    <t>(Note: RPM Entered must appear in RESULTS Table - change RPM starting point or step increment to ensure this- if required)</t>
  </si>
  <si>
    <t>(This rpm should represent the RPM you encounter or expect for the Regime of flight you are in such as Take-0ff, Climb, Cruise, etc)</t>
  </si>
  <si>
    <t>(For example your RPM on climbout may be 5600 rpm but your airspeed may only be 120 MPH indicated, where as you may still)</t>
  </si>
  <si>
    <t>(Have an engine rpm of 5600 at cruise, but your airspeed would be more like 170 MPH Indicated.)</t>
  </si>
  <si>
    <t>(The selection of this rpm is important for the cooling calculation as it determines the BTU of waste heat rejection required)</t>
  </si>
  <si>
    <t>Heat Rejection Data</t>
  </si>
  <si>
    <t xml:space="preserve">Heat Rejection Required </t>
  </si>
  <si>
    <t xml:space="preserve">Heat Rejection Capability </t>
  </si>
  <si>
    <t>Cooling Status</t>
  </si>
  <si>
    <t>Delta Capacity</t>
  </si>
  <si>
    <t>Fuel GPH</t>
  </si>
  <si>
    <t xml:space="preserve">BTU/Minute </t>
  </si>
  <si>
    <t>Number radiators</t>
  </si>
  <si>
    <t>Note Cooling Capacity is based on two GM evaporator cores and one stock RX-7 Oil cooler</t>
  </si>
  <si>
    <t>BTU/Minute</t>
  </si>
  <si>
    <t>Total Cooling Capacity (Radiators and oil Cooler)</t>
  </si>
  <si>
    <t>Total Heat Rejection Capacity</t>
  </si>
  <si>
    <t>Total Heat Rejection Requried</t>
  </si>
  <si>
    <t>Overall System Cooling Status</t>
  </si>
  <si>
    <t>Radiator Data</t>
  </si>
  <si>
    <t>Oil Cooler Data</t>
  </si>
  <si>
    <t>Enter Air Temperature(Select -15F-&gt;100F)</t>
  </si>
  <si>
    <t>Width =</t>
  </si>
  <si>
    <t>Number of Rads =</t>
  </si>
  <si>
    <t>Height =</t>
  </si>
  <si>
    <t>Number of Oil Coolers</t>
  </si>
  <si>
    <t>Radiator/Cooler Data</t>
  </si>
  <si>
    <t>GM evaporator core - Width = 10.5, Height = 9.0 inches</t>
  </si>
  <si>
    <t>Enter Surface Area Data</t>
  </si>
  <si>
    <t>two normally used.</t>
  </si>
  <si>
    <t>Fin Area Only</t>
  </si>
  <si>
    <t>Note:  Cooling capacity based soley on Mass flow</t>
  </si>
  <si>
    <t>Width (nches)</t>
  </si>
  <si>
    <t>through radiator surface area which can be affected by</t>
  </si>
  <si>
    <t>Height(Inches)</t>
  </si>
  <si>
    <t>a number of factors not taken into consideration in</t>
  </si>
  <si>
    <t>this simple cooling capacity calculator</t>
  </si>
  <si>
    <t>Number of Rads</t>
  </si>
  <si>
    <t>Number of radiators of size entered</t>
  </si>
  <si>
    <t xml:space="preserve">Number of Oil Coolers     </t>
  </si>
  <si>
    <t>Note: Oil coolers are assumed to be stock RX-7</t>
  </si>
  <si>
    <t>Air Mass lbm/Min</t>
  </si>
  <si>
    <t>Fuel Flow Lbm/min</t>
  </si>
  <si>
    <t>Radiator  Heat Rejection Requirement BTU/Minute</t>
  </si>
  <si>
    <t>Prop Torque</t>
  </si>
  <si>
    <t>Climb Duct Speed Coef</t>
  </si>
  <si>
    <t>oil Cooler</t>
  </si>
  <si>
    <t>Radiator =</t>
  </si>
  <si>
    <t xml:space="preserve"> Delta T Rad (F)</t>
  </si>
  <si>
    <t xml:space="preserve"> Delta T oil  (F)</t>
  </si>
  <si>
    <t xml:space="preserve">Oil = </t>
  </si>
  <si>
    <t>Mass Flow Lb/min</t>
  </si>
  <si>
    <t>W lb/min</t>
  </si>
  <si>
    <t>Q Btu/min</t>
  </si>
  <si>
    <t xml:space="preserve">Horse Power </t>
  </si>
  <si>
    <t>W lb/Min</t>
  </si>
  <si>
    <t>AutoTune</t>
  </si>
  <si>
    <t>MAP "Hg</t>
  </si>
  <si>
    <t>Map Kpa</t>
  </si>
  <si>
    <t>=0.039158*(D8*10-31)/((D7+459.7) )</t>
  </si>
  <si>
    <t>KPA</t>
  </si>
  <si>
    <t>Temp  F</t>
  </si>
  <si>
    <t>"Hg</t>
  </si>
  <si>
    <t>lbm/ft^3</t>
  </si>
  <si>
    <t>Map KPA</t>
  </si>
  <si>
    <t>=IF(D8&lt;40.6,2,4)</t>
  </si>
  <si>
    <t>plbm /ft^3</t>
  </si>
  <si>
    <t>lbm/time unit</t>
  </si>
  <si>
    <t>Ncylinders</t>
  </si>
  <si>
    <t>injectors</t>
  </si>
  <si>
    <t xml:space="preserve">Duty Cycle </t>
  </si>
  <si>
    <t>1 hour</t>
  </si>
  <si>
    <t>1 sec</t>
  </si>
  <si>
    <t>1 millsecond</t>
  </si>
  <si>
    <t>CID</t>
  </si>
  <si>
    <t>#</t>
  </si>
  <si>
    <t>Limit</t>
  </si>
  <si>
    <t>inj lbm/hr</t>
  </si>
  <si>
    <t>Rate lbm/hr</t>
  </si>
  <si>
    <t># inj</t>
  </si>
  <si>
    <t>Lbm Total 1 hr</t>
  </si>
  <si>
    <t>Air/Fuel Ratio</t>
  </si>
  <si>
    <t>Gallons</t>
  </si>
  <si>
    <t>Req Fuel =</t>
  </si>
  <si>
    <t>millsecond</t>
  </si>
  <si>
    <t>injector time</t>
  </si>
  <si>
    <t>for 4 stroke engine</t>
  </si>
  <si>
    <t>Rotor No.</t>
  </si>
  <si>
    <t>E shaft rpm</t>
  </si>
  <si>
    <t>1 face fires for each 360 deg of e shaft rotation so for 720 deg 2 faces fire or 2 x 40 = 80 cid</t>
  </si>
  <si>
    <t>Displacement/face</t>
  </si>
  <si>
    <t>Ve =</t>
  </si>
  <si>
    <t>Faces</t>
  </si>
  <si>
    <t>Total Displacement</t>
  </si>
  <si>
    <t>CF disp</t>
  </si>
  <si>
    <t>air mass lbm</t>
  </si>
  <si>
    <t>air mass*Ve</t>
  </si>
  <si>
    <t>Fuel Mass lbm</t>
  </si>
  <si>
    <t>injection time</t>
  </si>
  <si>
    <t xml:space="preserve">Air Volume </t>
  </si>
  <si>
    <t>millseconds each for all injectors</t>
  </si>
  <si>
    <t>CFM</t>
  </si>
  <si>
    <t>lbm/min</t>
  </si>
  <si>
    <t>lbm/sec</t>
  </si>
  <si>
    <t>lbm/millsecond</t>
  </si>
  <si>
    <t>X10</t>
  </si>
  <si>
    <t>Gal/min</t>
  </si>
  <si>
    <t>gal/hour</t>
  </si>
  <si>
    <t>Map "Hg</t>
  </si>
  <si>
    <t>was 100%</t>
  </si>
  <si>
    <t>was Thottle % open</t>
  </si>
  <si>
    <t>Manifold Pressure Inches Mercury " Hg</t>
  </si>
  <si>
    <t>Manifold</t>
  </si>
  <si>
    <t>FOR EDUCATIONAL AND ENTERTAINMENT PURPOSES ONLY                                                                      This spreadsheet is designed to provide first order estimates of engine power and BTU Heat rejection requirements for a Mazda Wankel 13B Normally aspired engine. It will provide an estimate for Sea Level Power and Power at Altitude MSL. Note: Engine load is not a computational factor, but can be approximated to some degree by manifold pressure.  Enter your desired parameters in the blue Data Input Box.  Copywrite @ January, 19, 1994</t>
  </si>
  <si>
    <r>
      <t xml:space="preserve"> Engine Torque</t>
    </r>
    <r>
      <rPr>
        <b/>
        <sz val="10"/>
        <color indexed="12"/>
        <rFont val="Arial Greek"/>
        <family val="2"/>
        <charset val="161"/>
      </rPr>
      <t xml:space="preserve"> </t>
    </r>
  </si>
  <si>
    <t>(max rpm)</t>
  </si>
  <si>
    <t>Altitude MSL</t>
  </si>
  <si>
    <t>Feet</t>
  </si>
  <si>
    <t xml:space="preserve"> Pump Flow</t>
  </si>
  <si>
    <t>Pump Flow</t>
  </si>
  <si>
    <t>Cp Btu/Lb-F (0.6 -1.0)</t>
  </si>
  <si>
    <t>Tin_F</t>
  </si>
  <si>
    <t>Tout_F</t>
  </si>
  <si>
    <t>Degree F</t>
  </si>
  <si>
    <r>
      <t xml:space="preserve">Coolant </t>
    </r>
    <r>
      <rPr>
        <b/>
        <sz val="12"/>
        <color indexed="12"/>
        <rFont val="Symbol"/>
        <family val="1"/>
        <charset val="2"/>
      </rPr>
      <t>D</t>
    </r>
    <r>
      <rPr>
        <b/>
        <sz val="12"/>
        <color indexed="12"/>
        <rFont val="Arial"/>
      </rPr>
      <t xml:space="preserve">T </t>
    </r>
  </si>
  <si>
    <t>Tout_ F</t>
  </si>
  <si>
    <t>Tin_ F</t>
  </si>
  <si>
    <t>Air Density at altitude =</t>
  </si>
  <si>
    <t>Cp Coolant</t>
  </si>
  <si>
    <t>Range 0.6 -1.0</t>
  </si>
  <si>
    <t>Note: Default values for Radiator dimensions</t>
  </si>
  <si>
    <t>are for GM evaporator cores</t>
  </si>
  <si>
    <t>Default for Oil cooler is stock RX-7</t>
  </si>
  <si>
    <t xml:space="preserve">Tin_ F  </t>
  </si>
  <si>
    <t>Over all System Cooling Satus</t>
  </si>
  <si>
    <t>Version 3.0  Copyright Oct 2007 by Edward L. Anderson</t>
  </si>
  <si>
    <t>Fuel</t>
  </si>
  <si>
    <t>Turbo</t>
  </si>
  <si>
    <t xml:space="preserve">Message:  </t>
  </si>
  <si>
    <t>Air Density Altitude</t>
  </si>
  <si>
    <t>air density Manifold</t>
  </si>
  <si>
    <t>NO</t>
  </si>
  <si>
    <t xml:space="preserve">Gallons/Minute </t>
  </si>
  <si>
    <t>Flow Rate Gallons/Min</t>
  </si>
  <si>
    <t>Mass Flow lbm/min</t>
  </si>
  <si>
    <t>Water Pump RPM</t>
  </si>
  <si>
    <t>Pump Factor</t>
  </si>
  <si>
    <t>Flow gpm</t>
  </si>
  <si>
    <t>15-40</t>
  </si>
  <si>
    <t xml:space="preserve">Note: if you desire your coolant  flow rate proprational to Engine rpm,. Enter " =C15" (without quotation marks)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</si>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</sst>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_)"/>
    <numFmt numFmtId="166" formatCode="#\ ??/100"/>
    <numFmt numFmtId="167" formatCode="0.0000"/>
    <numFmt numFmtId="168" formatCode="0.000000"/>
    <numFmt numFmtId="169" formatCode="0.0"/>
    <numFmt numFmtId="170" formatCode="0.00000E+00"/>
    <numFmt numFmtId="171" formatCode="0.00000000"/>
  </numFmts>
  <fonts count="92" x14ac:knownFonts="1">
    <font>
      <sz val="10"/>
      <name val="Arial"/>
    </font>
    <font>
      <sz val="10"/>
      <name val="Courier"/>
      <family val="3"/>
    </font>
    <font>
      <sz val="10"/>
      <name val="Arial Narrow"/>
      <family val="2"/>
    </font>
    <font>
      <b/>
      <sz val="10"/>
      <name val="Courier"/>
      <family val="3"/>
    </font>
    <font>
      <b/>
      <sz val="10"/>
      <name val="Arial"/>
      <family val="2"/>
    </font>
    <font>
      <sz val="8"/>
      <name val="Arial"/>
      <family val="2"/>
    </font>
    <font>
      <b/>
      <sz val="8"/>
      <name val="Arial"/>
      <family val="2"/>
    </font>
    <font>
      <sz val="10"/>
      <color indexed="10"/>
      <name val="Courier"/>
      <family val="3"/>
    </font>
    <font>
      <sz val="8"/>
      <color indexed="10"/>
      <name val="Arial"/>
      <family val="2"/>
    </font>
    <font>
      <b/>
      <i/>
      <sz val="10"/>
      <name val="Arial"/>
      <family val="2"/>
    </font>
    <font>
      <sz val="8"/>
      <color indexed="12"/>
      <name val="Arial"/>
      <family val="2"/>
    </font>
    <font>
      <sz val="10"/>
      <color indexed="12"/>
      <name val="Courier"/>
      <family val="3"/>
    </font>
    <font>
      <b/>
      <sz val="8"/>
      <color indexed="12"/>
      <name val="Arial"/>
      <family val="2"/>
    </font>
    <font>
      <b/>
      <sz val="10"/>
      <color indexed="12"/>
      <name val="Courier"/>
      <family val="3"/>
    </font>
    <font>
      <sz val="10"/>
      <color indexed="57"/>
      <name val="Courier"/>
      <family val="3"/>
    </font>
    <font>
      <b/>
      <sz val="10"/>
      <color indexed="57"/>
      <name val="Courier"/>
      <family val="3"/>
    </font>
    <font>
      <sz val="10"/>
      <color indexed="10"/>
      <name val="Arial"/>
    </font>
    <font>
      <sz val="14"/>
      <color indexed="12"/>
      <name val="Arial Narrow"/>
      <family val="2"/>
    </font>
    <font>
      <b/>
      <sz val="14"/>
      <color indexed="12"/>
      <name val="Arial"/>
    </font>
    <font>
      <b/>
      <sz val="12"/>
      <color indexed="57"/>
      <name val="Arial Narrow"/>
      <family val="2"/>
    </font>
    <font>
      <b/>
      <sz val="12"/>
      <color indexed="12"/>
      <name val="Arial Narrow"/>
      <family val="2"/>
    </font>
    <font>
      <b/>
      <sz val="14"/>
      <name val="Arial Narrow"/>
      <family val="2"/>
    </font>
    <font>
      <b/>
      <sz val="14"/>
      <color indexed="12"/>
      <name val="Arial Narrow"/>
      <family val="2"/>
    </font>
    <font>
      <sz val="14"/>
      <name val="Arial Narrow"/>
      <family val="2"/>
    </font>
    <font>
      <b/>
      <sz val="14"/>
      <color indexed="48"/>
      <name val="Arial Narrow"/>
      <family val="2"/>
    </font>
    <font>
      <sz val="14"/>
      <color indexed="9"/>
      <name val="Arial Narrow"/>
      <family val="2"/>
    </font>
    <font>
      <b/>
      <sz val="14"/>
      <color indexed="9"/>
      <name val="Arial Narrow"/>
      <family val="2"/>
    </font>
    <font>
      <b/>
      <sz val="20"/>
      <color indexed="9"/>
      <name val="Arial Narrow"/>
      <family val="2"/>
    </font>
    <font>
      <sz val="15"/>
      <color indexed="57"/>
      <name val="Courier"/>
      <family val="3"/>
    </font>
    <font>
      <sz val="14"/>
      <color indexed="10"/>
      <name val="Arial"/>
      <family val="2"/>
    </font>
    <font>
      <sz val="10"/>
      <color indexed="9"/>
      <name val="Arial"/>
      <family val="2"/>
    </font>
    <font>
      <sz val="10"/>
      <color indexed="9"/>
      <name val="Courier"/>
      <family val="3"/>
    </font>
    <font>
      <u/>
      <sz val="10"/>
      <color indexed="9"/>
      <name val="Courier"/>
      <family val="3"/>
    </font>
    <font>
      <sz val="10"/>
      <color indexed="9"/>
      <name val="Arial"/>
    </font>
    <font>
      <sz val="8"/>
      <color indexed="9"/>
      <name val="Arial"/>
      <family val="2"/>
    </font>
    <font>
      <b/>
      <sz val="8"/>
      <color indexed="9"/>
      <name val="Arial"/>
      <family val="2"/>
    </font>
    <font>
      <b/>
      <i/>
      <sz val="10"/>
      <name val="Arial"/>
    </font>
    <font>
      <b/>
      <sz val="12"/>
      <color indexed="10"/>
      <name val="Arial Narrow"/>
      <family val="2"/>
    </font>
    <font>
      <b/>
      <sz val="10"/>
      <color indexed="12"/>
      <name val="Arial"/>
    </font>
    <font>
      <b/>
      <sz val="12"/>
      <color indexed="12"/>
      <name val="Arial"/>
    </font>
    <font>
      <b/>
      <sz val="10"/>
      <color indexed="10"/>
      <name val="Arial Narrow"/>
      <family val="2"/>
    </font>
    <font>
      <b/>
      <sz val="24"/>
      <color indexed="10"/>
      <name val="Arial Narrow"/>
      <family val="2"/>
    </font>
    <font>
      <sz val="10"/>
      <name val="Arial"/>
      <family val="2"/>
    </font>
    <font>
      <sz val="12"/>
      <color indexed="57"/>
      <name val="Arial Narrow"/>
      <family val="2"/>
    </font>
    <font>
      <sz val="20"/>
      <name val="Arial Narrow"/>
      <family val="2"/>
    </font>
    <font>
      <sz val="8"/>
      <color indexed="81"/>
      <name val="Tahoma"/>
    </font>
    <font>
      <b/>
      <sz val="8"/>
      <color indexed="81"/>
      <name val="Tahoma"/>
    </font>
    <font>
      <b/>
      <sz val="12"/>
      <color indexed="81"/>
      <name val="Arial Narrow"/>
      <family val="2"/>
    </font>
    <font>
      <b/>
      <u/>
      <sz val="14"/>
      <name val="Arial Narrow"/>
      <family val="2"/>
    </font>
    <font>
      <b/>
      <sz val="20"/>
      <color indexed="10"/>
      <name val="Arial Narrow"/>
      <family val="2"/>
    </font>
    <font>
      <sz val="20"/>
      <color indexed="12"/>
      <name val="Arial Narrow"/>
      <family val="2"/>
    </font>
    <font>
      <sz val="12"/>
      <name val="Arial Narrow"/>
      <family val="2"/>
    </font>
    <font>
      <sz val="10"/>
      <color indexed="12"/>
      <name val="Arial"/>
    </font>
    <font>
      <b/>
      <sz val="24"/>
      <color indexed="9"/>
      <name val="Arial"/>
      <family val="2"/>
    </font>
    <font>
      <sz val="12"/>
      <name val="Arial Black"/>
      <family val="2"/>
    </font>
    <font>
      <sz val="10"/>
      <color indexed="12"/>
      <name val="Arial Narrow"/>
      <family val="2"/>
    </font>
    <font>
      <b/>
      <sz val="8"/>
      <color indexed="10"/>
      <name val="Arial"/>
      <family val="2"/>
    </font>
    <font>
      <b/>
      <sz val="10"/>
      <color indexed="81"/>
      <name val="Tahoma"/>
      <family val="2"/>
    </font>
    <font>
      <sz val="10"/>
      <color indexed="81"/>
      <name val="Tahoma"/>
      <family val="2"/>
    </font>
    <font>
      <sz val="14"/>
      <color indexed="10"/>
      <name val="Arial Narrow"/>
      <family val="2"/>
    </font>
    <font>
      <sz val="12"/>
      <name val="Arial"/>
      <family val="2"/>
    </font>
    <font>
      <b/>
      <sz val="10"/>
      <color indexed="12"/>
      <name val="Arial"/>
      <family val="2"/>
    </font>
    <font>
      <b/>
      <sz val="12"/>
      <name val="Arial"/>
      <family val="2"/>
    </font>
    <font>
      <b/>
      <sz val="14"/>
      <color indexed="12"/>
      <name val="Arial"/>
      <family val="2"/>
    </font>
    <font>
      <b/>
      <sz val="12"/>
      <color indexed="12"/>
      <name val="Arial"/>
      <family val="2"/>
    </font>
    <font>
      <sz val="12"/>
      <color indexed="17"/>
      <name val="Arial Narrow"/>
      <family val="2"/>
    </font>
    <font>
      <b/>
      <sz val="9"/>
      <name val="Arial"/>
      <family val="2"/>
    </font>
    <font>
      <b/>
      <sz val="9"/>
      <color indexed="12"/>
      <name val="Arial"/>
      <family val="2"/>
    </font>
    <font>
      <sz val="9"/>
      <name val="Arial"/>
    </font>
    <font>
      <b/>
      <sz val="9"/>
      <color indexed="12"/>
      <name val="Arial Narrow"/>
      <family val="2"/>
    </font>
    <font>
      <sz val="9"/>
      <color indexed="12"/>
      <name val="Arial"/>
    </font>
    <font>
      <b/>
      <sz val="9"/>
      <color indexed="48"/>
      <name val="Arial Narrow"/>
      <family val="2"/>
    </font>
    <font>
      <sz val="9"/>
      <name val="Arial"/>
      <family val="2"/>
    </font>
    <font>
      <b/>
      <sz val="9"/>
      <color indexed="12"/>
      <name val="Arial"/>
    </font>
    <font>
      <sz val="9"/>
      <name val="Arial Black"/>
      <family val="2"/>
    </font>
    <font>
      <sz val="10"/>
      <color indexed="12"/>
      <name val="Arial"/>
      <family val="2"/>
    </font>
    <font>
      <b/>
      <sz val="10"/>
      <color indexed="10"/>
      <name val="Arial"/>
      <family val="2"/>
    </font>
    <font>
      <sz val="10"/>
      <color indexed="10"/>
      <name val="Arial"/>
      <family val="2"/>
    </font>
    <font>
      <b/>
      <sz val="14"/>
      <color indexed="10"/>
      <name val="Arial"/>
      <family val="2"/>
    </font>
    <font>
      <b/>
      <i/>
      <sz val="12"/>
      <name val="Arial"/>
      <family val="2"/>
    </font>
    <font>
      <i/>
      <sz val="10"/>
      <name val="Arial"/>
      <family val="2"/>
    </font>
    <font>
      <b/>
      <i/>
      <sz val="10"/>
      <color indexed="12"/>
      <name val="Arial"/>
      <family val="2"/>
    </font>
    <font>
      <b/>
      <sz val="12"/>
      <color indexed="12"/>
      <name val="Arial Greek"/>
      <family val="2"/>
      <charset val="161"/>
    </font>
    <font>
      <b/>
      <sz val="10"/>
      <color indexed="48"/>
      <name val="Arial"/>
      <family val="2"/>
    </font>
    <font>
      <sz val="10"/>
      <color indexed="57"/>
      <name val="Arial"/>
      <family val="2"/>
    </font>
    <font>
      <b/>
      <sz val="10"/>
      <color indexed="12"/>
      <name val="Arial Greek"/>
      <family val="2"/>
      <charset val="161"/>
    </font>
    <font>
      <b/>
      <sz val="12"/>
      <color indexed="12"/>
      <name val="Symbol"/>
      <family val="1"/>
      <charset val="2"/>
    </font>
    <font>
      <b/>
      <sz val="12"/>
      <color indexed="48"/>
      <name val="Arial"/>
      <family val="2"/>
    </font>
    <font>
      <sz val="10"/>
      <color indexed="13"/>
      <name val="Arial"/>
      <family val="2"/>
    </font>
    <font>
      <b/>
      <sz val="16"/>
      <color indexed="10"/>
      <name val="Arial"/>
      <family val="2"/>
    </font>
    <font>
      <b/>
      <sz val="12"/>
      <color indexed="10"/>
      <name val="Courier"/>
      <family val="3"/>
    </font>
    <font>
      <sz val="8"/>
      <name val="Arial"/>
    </font>
  </fonts>
  <fills count="11">
    <fill>
      <patternFill patternType="none"/>
    </fill>
    <fill>
      <patternFill patternType="gray125"/>
    </fill>
    <fill>
      <patternFill patternType="solid">
        <fgColor indexed="1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6"/>
        <bgColor indexed="64"/>
      </patternFill>
    </fill>
    <fill>
      <patternFill patternType="solid">
        <fgColor indexed="44"/>
        <bgColor indexed="64"/>
      </patternFill>
    </fill>
    <fill>
      <patternFill patternType="solid">
        <fgColor indexed="8"/>
        <bgColor indexed="64"/>
      </patternFill>
    </fill>
    <fill>
      <patternFill patternType="solid">
        <fgColor indexed="45"/>
        <bgColor indexed="64"/>
      </patternFill>
    </fill>
    <fill>
      <patternFill patternType="solid">
        <fgColor indexed="13"/>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12"/>
      </left>
      <right style="double">
        <color indexed="12"/>
      </right>
      <top style="double">
        <color indexed="12"/>
      </top>
      <bottom/>
      <diagonal/>
    </border>
    <border>
      <left style="double">
        <color indexed="12"/>
      </left>
      <right style="double">
        <color indexed="12"/>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12"/>
      </right>
      <top/>
      <bottom/>
      <diagonal/>
    </border>
    <border>
      <left/>
      <right/>
      <top/>
      <bottom style="thick">
        <color indexed="12"/>
      </bottom>
      <diagonal/>
    </border>
    <border>
      <left/>
      <right/>
      <top style="thick">
        <color indexed="12"/>
      </top>
      <bottom/>
      <diagonal/>
    </border>
    <border>
      <left/>
      <right style="thick">
        <color indexed="12"/>
      </right>
      <top style="thick">
        <color indexed="12"/>
      </top>
      <bottom/>
      <diagonal/>
    </border>
    <border>
      <left/>
      <right/>
      <top style="double">
        <color indexed="12"/>
      </top>
      <bottom/>
      <diagonal/>
    </border>
    <border>
      <left/>
      <right style="thick">
        <color indexed="12"/>
      </right>
      <top style="double">
        <color indexed="12"/>
      </top>
      <bottom/>
      <diagonal/>
    </border>
    <border>
      <left/>
      <right/>
      <top/>
      <bottom style="double">
        <color indexed="12"/>
      </bottom>
      <diagonal/>
    </border>
    <border>
      <left/>
      <right style="thick">
        <color indexed="12"/>
      </right>
      <top/>
      <bottom style="double">
        <color indexed="12"/>
      </bottom>
      <diagonal/>
    </border>
    <border>
      <left/>
      <right/>
      <top style="thick">
        <color indexed="64"/>
      </top>
      <bottom style="hair">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double">
        <color indexed="12"/>
      </right>
      <top/>
      <bottom style="thick">
        <color indexed="64"/>
      </bottom>
      <diagonal/>
    </border>
    <border>
      <left/>
      <right style="thick">
        <color indexed="13"/>
      </right>
      <top style="thick">
        <color indexed="13"/>
      </top>
      <bottom/>
      <diagonal/>
    </border>
    <border>
      <left style="thick">
        <color indexed="13"/>
      </left>
      <right/>
      <top/>
      <bottom/>
      <diagonal/>
    </border>
    <border>
      <left/>
      <right style="thick">
        <color indexed="13"/>
      </right>
      <top/>
      <bottom/>
      <diagonal/>
    </border>
    <border>
      <left style="thick">
        <color indexed="13"/>
      </left>
      <right/>
      <top/>
      <bottom style="thick">
        <color indexed="13"/>
      </bottom>
      <diagonal/>
    </border>
    <border>
      <left/>
      <right style="thick">
        <color indexed="13"/>
      </right>
      <top/>
      <bottom style="thick">
        <color indexed="13"/>
      </bottom>
      <diagonal/>
    </border>
    <border>
      <left/>
      <right/>
      <top/>
      <bottom style="thin">
        <color indexed="64"/>
      </bottom>
      <diagonal/>
    </border>
    <border>
      <left/>
      <right style="double">
        <color indexed="12"/>
      </right>
      <top style="thick">
        <color indexed="64"/>
      </top>
      <bottom style="hair">
        <color indexed="64"/>
      </bottom>
      <diagonal/>
    </border>
    <border>
      <left style="double">
        <color indexed="12"/>
      </left>
      <right/>
      <top style="double">
        <color indexed="12"/>
      </top>
      <bottom style="double">
        <color indexed="12"/>
      </bottom>
      <diagonal/>
    </border>
    <border>
      <left/>
      <right/>
      <top style="double">
        <color indexed="12"/>
      </top>
      <bottom style="double">
        <color indexed="12"/>
      </bottom>
      <diagonal/>
    </border>
    <border>
      <left/>
      <right style="double">
        <color indexed="12"/>
      </right>
      <top style="double">
        <color indexed="12"/>
      </top>
      <bottom style="double">
        <color indexed="12"/>
      </bottom>
      <diagonal/>
    </border>
    <border>
      <left style="double">
        <color indexed="12"/>
      </left>
      <right/>
      <top/>
      <bottom/>
      <diagonal/>
    </border>
    <border>
      <left style="double">
        <color indexed="12"/>
      </left>
      <right style="thick">
        <color indexed="12"/>
      </right>
      <top/>
      <bottom/>
      <diagonal/>
    </border>
    <border>
      <left style="double">
        <color indexed="12"/>
      </left>
      <right style="medium">
        <color indexed="64"/>
      </right>
      <top/>
      <bottom/>
      <diagonal/>
    </border>
    <border>
      <left/>
      <right style="double">
        <color indexed="12"/>
      </right>
      <top/>
      <bottom/>
      <diagonal/>
    </border>
    <border>
      <left/>
      <right style="double">
        <color indexed="12"/>
      </right>
      <top style="double">
        <color indexed="12"/>
      </top>
      <bottom/>
      <diagonal/>
    </border>
    <border>
      <left/>
      <right style="double">
        <color indexed="12"/>
      </right>
      <top/>
      <bottom style="double">
        <color indexed="12"/>
      </bottom>
      <diagonal/>
    </border>
    <border>
      <left/>
      <right/>
      <top style="thick">
        <color indexed="64"/>
      </top>
      <bottom/>
      <diagonal/>
    </border>
    <border>
      <left/>
      <right style="double">
        <color indexed="12"/>
      </right>
      <top style="thick">
        <color indexed="64"/>
      </top>
      <bottom/>
      <diagonal/>
    </border>
    <border>
      <left style="double">
        <color indexed="12"/>
      </left>
      <right/>
      <top/>
      <bottom style="double">
        <color indexed="12"/>
      </bottom>
      <diagonal/>
    </border>
    <border>
      <left/>
      <right style="thick">
        <color indexed="12"/>
      </right>
      <top/>
      <bottom style="thick">
        <color indexed="12"/>
      </bottom>
      <diagonal/>
    </border>
    <border>
      <left style="medium">
        <color indexed="64"/>
      </left>
      <right/>
      <top style="medium">
        <color indexed="64"/>
      </top>
      <bottom/>
      <diagonal/>
    </border>
    <border>
      <left style="thick">
        <color indexed="13"/>
      </left>
      <right/>
      <top style="thick">
        <color indexed="13"/>
      </top>
      <bottom/>
      <diagonal/>
    </border>
    <border>
      <left style="double">
        <color indexed="12"/>
      </left>
      <right style="double">
        <color indexed="12"/>
      </right>
      <top style="hair">
        <color indexed="12"/>
      </top>
      <bottom style="double">
        <color indexed="12"/>
      </bottom>
      <diagonal/>
    </border>
    <border>
      <left style="thick">
        <color indexed="12"/>
      </left>
      <right/>
      <top style="thick">
        <color indexed="12"/>
      </top>
      <bottom/>
      <diagonal/>
    </border>
    <border>
      <left style="thick">
        <color indexed="12"/>
      </left>
      <right/>
      <top/>
      <bottom/>
      <diagonal/>
    </border>
    <border>
      <left style="thick">
        <color indexed="12"/>
      </left>
      <right/>
      <top/>
      <bottom style="thick">
        <color indexed="12"/>
      </bottom>
      <diagonal/>
    </border>
    <border>
      <left style="thick">
        <color indexed="12"/>
      </left>
      <right/>
      <top/>
      <bottom style="double">
        <color indexed="12"/>
      </bottom>
      <diagonal/>
    </border>
    <border>
      <left style="thick">
        <color indexed="12"/>
      </left>
      <right/>
      <top style="double">
        <color indexed="12"/>
      </top>
      <bottom/>
      <diagonal/>
    </border>
    <border>
      <left style="double">
        <color indexed="12"/>
      </left>
      <right/>
      <top style="double">
        <color indexed="12"/>
      </top>
      <bottom/>
      <diagonal/>
    </border>
    <border>
      <left style="thick">
        <color indexed="12"/>
      </left>
      <right style="thick">
        <color indexed="12"/>
      </right>
      <top style="thick">
        <color indexed="12"/>
      </top>
      <bottom/>
      <diagonal/>
    </border>
    <border>
      <left style="thick">
        <color indexed="12"/>
      </left>
      <right style="thick">
        <color indexed="12"/>
      </right>
      <top/>
      <bottom/>
      <diagonal/>
    </border>
    <border>
      <left style="thick">
        <color indexed="12"/>
      </left>
      <right style="thick">
        <color indexed="12"/>
      </right>
      <top style="double">
        <color indexed="12"/>
      </top>
      <bottom/>
      <diagonal/>
    </border>
    <border>
      <left style="thick">
        <color indexed="12"/>
      </left>
      <right style="thick">
        <color indexed="12"/>
      </right>
      <top/>
      <bottom style="thick">
        <color indexed="12"/>
      </bottom>
      <diagonal/>
    </border>
    <border>
      <left style="thick">
        <color indexed="12"/>
      </left>
      <right style="thick">
        <color indexed="12"/>
      </right>
      <top style="thick">
        <color indexed="12"/>
      </top>
      <bottom style="thick">
        <color indexed="12"/>
      </bottom>
      <diagonal/>
    </border>
    <border>
      <left/>
      <right/>
      <top style="thick">
        <color indexed="12"/>
      </top>
      <bottom style="thick">
        <color indexed="12"/>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12"/>
      </top>
      <bottom/>
      <diagonal/>
    </border>
    <border>
      <left/>
      <right style="thick">
        <color indexed="64"/>
      </right>
      <top style="thick">
        <color indexed="12"/>
      </top>
      <bottom/>
      <diagonal/>
    </border>
    <border>
      <left style="thick">
        <color indexed="64"/>
      </left>
      <right/>
      <top/>
      <bottom/>
      <diagonal/>
    </border>
    <border>
      <left/>
      <right style="thick">
        <color indexed="64"/>
      </right>
      <top/>
      <bottom/>
      <diagonal/>
    </border>
    <border>
      <left style="thick">
        <color indexed="64"/>
      </left>
      <right/>
      <top style="double">
        <color indexed="12"/>
      </top>
      <bottom/>
      <diagonal/>
    </border>
    <border>
      <left/>
      <right style="thick">
        <color indexed="64"/>
      </right>
      <top style="double">
        <color indexed="12"/>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style="double">
        <color indexed="12"/>
      </bottom>
      <diagonal/>
    </border>
    <border>
      <left style="thick">
        <color indexed="12"/>
      </left>
      <right/>
      <top style="double">
        <color indexed="12"/>
      </top>
      <bottom style="double">
        <color indexed="12"/>
      </bottom>
      <diagonal/>
    </border>
  </borders>
  <cellStyleXfs count="2">
    <xf numFmtId="0" fontId="0" fillId="0" borderId="0"/>
    <xf numFmtId="165" fontId="1" fillId="0" borderId="0"/>
  </cellStyleXfs>
  <cellXfs count="657">
    <xf numFmtId="0" fontId="0" fillId="0" borderId="0" xfId="0"/>
    <xf numFmtId="165" fontId="1" fillId="0" borderId="0" xfId="1"/>
    <xf numFmtId="165" fontId="3" fillId="0" borderId="0" xfId="1" applyFont="1"/>
    <xf numFmtId="1" fontId="3" fillId="0" borderId="0" xfId="1" applyNumberFormat="1" applyFont="1"/>
    <xf numFmtId="1" fontId="1" fillId="0" borderId="0" xfId="1" applyNumberFormat="1"/>
    <xf numFmtId="2" fontId="1" fillId="0" borderId="0" xfId="1" applyNumberFormat="1"/>
    <xf numFmtId="0" fontId="0" fillId="0" borderId="1" xfId="0" applyBorder="1"/>
    <xf numFmtId="0" fontId="0" fillId="0" borderId="2" xfId="0" applyBorder="1"/>
    <xf numFmtId="0" fontId="0" fillId="0" borderId="0" xfId="0" applyBorder="1"/>
    <xf numFmtId="0" fontId="0" fillId="0" borderId="3" xfId="0" applyBorder="1"/>
    <xf numFmtId="49" fontId="11" fillId="0" borderId="0" xfId="1" applyNumberFormat="1" applyFont="1" applyAlignment="1">
      <alignment horizontal="right"/>
    </xf>
    <xf numFmtId="165" fontId="7" fillId="0" borderId="0" xfId="1" applyFont="1"/>
    <xf numFmtId="0" fontId="0" fillId="2" borderId="0" xfId="0" applyFill="1"/>
    <xf numFmtId="0" fontId="0" fillId="3" borderId="0" xfId="0" applyFill="1" applyBorder="1"/>
    <xf numFmtId="0" fontId="0" fillId="2" borderId="0" xfId="0" quotePrefix="1" applyFill="1" applyAlignment="1">
      <alignment horizontal="left"/>
    </xf>
    <xf numFmtId="2" fontId="18" fillId="0" borderId="4" xfId="0" applyNumberFormat="1" applyFont="1" applyBorder="1" applyProtection="1">
      <protection locked="0"/>
    </xf>
    <xf numFmtId="1" fontId="18" fillId="0" borderId="5" xfId="0" applyNumberFormat="1" applyFont="1" applyBorder="1" applyProtection="1">
      <protection locked="0"/>
    </xf>
    <xf numFmtId="9" fontId="18" fillId="0" borderId="5" xfId="0" applyNumberFormat="1" applyFont="1" applyBorder="1" applyProtection="1">
      <protection locked="0"/>
    </xf>
    <xf numFmtId="2" fontId="30" fillId="2" borderId="0" xfId="0" applyNumberFormat="1" applyFont="1" applyFill="1" applyBorder="1" applyAlignment="1" applyProtection="1">
      <alignment horizontal="center"/>
      <protection locked="0"/>
    </xf>
    <xf numFmtId="10" fontId="34" fillId="2" borderId="0" xfId="1" applyNumberFormat="1" applyFont="1" applyFill="1" applyProtection="1">
      <protection locked="0"/>
    </xf>
    <xf numFmtId="10" fontId="35" fillId="2" borderId="0" xfId="1" applyNumberFormat="1" applyFont="1" applyFill="1" applyProtection="1">
      <protection locked="0"/>
    </xf>
    <xf numFmtId="165" fontId="34" fillId="2" borderId="0" xfId="1" applyFont="1" applyFill="1" applyProtection="1">
      <protection locked="0"/>
    </xf>
    <xf numFmtId="165" fontId="3" fillId="4" borderId="0" xfId="1" applyFont="1" applyFill="1"/>
    <xf numFmtId="165" fontId="5" fillId="4" borderId="0" xfId="1" quotePrefix="1" applyFont="1" applyFill="1" applyAlignment="1">
      <alignment horizontal="left"/>
    </xf>
    <xf numFmtId="165" fontId="5" fillId="4" borderId="0" xfId="1" applyFont="1" applyFill="1"/>
    <xf numFmtId="165" fontId="1" fillId="4" borderId="0" xfId="1" applyFont="1" applyFill="1"/>
    <xf numFmtId="165" fontId="4" fillId="4" borderId="0" xfId="1" applyFont="1" applyFill="1"/>
    <xf numFmtId="165" fontId="10" fillId="4" borderId="0" xfId="1" applyFont="1" applyFill="1"/>
    <xf numFmtId="165" fontId="1" fillId="4" borderId="0" xfId="1" applyFill="1"/>
    <xf numFmtId="2" fontId="5" fillId="4" borderId="0" xfId="1" applyNumberFormat="1" applyFont="1" applyFill="1"/>
    <xf numFmtId="165" fontId="1" fillId="4" borderId="2" xfId="1" applyFill="1" applyBorder="1"/>
    <xf numFmtId="165" fontId="5" fillId="4" borderId="0" xfId="1" applyFont="1" applyFill="1" applyBorder="1"/>
    <xf numFmtId="165" fontId="5" fillId="4" borderId="3" xfId="1" applyFont="1" applyFill="1" applyBorder="1"/>
    <xf numFmtId="165" fontId="1" fillId="4" borderId="6" xfId="1" applyFill="1" applyBorder="1"/>
    <xf numFmtId="165" fontId="1" fillId="4" borderId="0" xfId="1" applyFill="1" applyBorder="1"/>
    <xf numFmtId="165" fontId="1" fillId="4" borderId="3" xfId="1" applyFill="1" applyBorder="1"/>
    <xf numFmtId="165" fontId="1" fillId="4" borderId="7" xfId="1" applyFill="1" applyBorder="1"/>
    <xf numFmtId="165" fontId="1" fillId="4" borderId="8" xfId="1" applyFill="1" applyBorder="1"/>
    <xf numFmtId="165" fontId="1" fillId="4" borderId="9" xfId="1" applyFill="1" applyBorder="1"/>
    <xf numFmtId="165" fontId="5" fillId="4" borderId="6" xfId="1" applyFont="1" applyFill="1" applyBorder="1"/>
    <xf numFmtId="2" fontId="5" fillId="4" borderId="6" xfId="1" applyNumberFormat="1" applyFont="1" applyFill="1" applyBorder="1"/>
    <xf numFmtId="2" fontId="5" fillId="4" borderId="3" xfId="1" quotePrefix="1" applyNumberFormat="1" applyFont="1" applyFill="1" applyBorder="1" applyAlignment="1">
      <alignment horizontal="left"/>
    </xf>
    <xf numFmtId="165" fontId="5" fillId="4" borderId="6" xfId="1" quotePrefix="1" applyFont="1" applyFill="1" applyBorder="1" applyAlignment="1">
      <alignment horizontal="left"/>
    </xf>
    <xf numFmtId="165" fontId="5" fillId="4" borderId="3" xfId="1" quotePrefix="1" applyFont="1" applyFill="1" applyBorder="1" applyAlignment="1">
      <alignment horizontal="left"/>
    </xf>
    <xf numFmtId="165" fontId="1" fillId="4" borderId="6" xfId="1" quotePrefix="1" applyFont="1" applyFill="1" applyBorder="1" applyAlignment="1">
      <alignment horizontal="left"/>
    </xf>
    <xf numFmtId="165" fontId="5" fillId="0" borderId="0" xfId="1" applyFont="1" applyBorder="1"/>
    <xf numFmtId="165" fontId="1" fillId="4" borderId="6" xfId="1" applyFont="1" applyFill="1" applyBorder="1"/>
    <xf numFmtId="165" fontId="1" fillId="4" borderId="0" xfId="1" applyFont="1" applyFill="1" applyBorder="1"/>
    <xf numFmtId="165" fontId="4" fillId="4" borderId="6" xfId="1" applyFont="1" applyFill="1" applyBorder="1"/>
    <xf numFmtId="165" fontId="10" fillId="4" borderId="7" xfId="1" applyFont="1" applyFill="1" applyBorder="1"/>
    <xf numFmtId="165" fontId="11" fillId="4" borderId="8" xfId="1" applyFont="1" applyFill="1" applyBorder="1"/>
    <xf numFmtId="165" fontId="9" fillId="4" borderId="0" xfId="1" applyFont="1" applyFill="1" applyAlignment="1">
      <alignment horizontal="left"/>
    </xf>
    <xf numFmtId="165" fontId="10" fillId="4" borderId="0" xfId="1" quotePrefix="1" applyFont="1" applyFill="1" applyAlignment="1">
      <alignment horizontal="left"/>
    </xf>
    <xf numFmtId="165" fontId="12" fillId="4" borderId="0" xfId="1" quotePrefix="1" applyFont="1" applyFill="1" applyAlignment="1">
      <alignment horizontal="left"/>
    </xf>
    <xf numFmtId="165" fontId="1" fillId="2" borderId="0" xfId="1" applyFill="1"/>
    <xf numFmtId="0" fontId="33" fillId="2" borderId="3" xfId="0" quotePrefix="1" applyFont="1" applyFill="1" applyBorder="1" applyAlignment="1">
      <alignment horizontal="center"/>
    </xf>
    <xf numFmtId="165" fontId="1" fillId="2" borderId="3" xfId="1" applyFill="1" applyBorder="1" applyAlignment="1">
      <alignment horizontal="center"/>
    </xf>
    <xf numFmtId="165" fontId="31" fillId="2" borderId="3" xfId="1" applyFont="1" applyFill="1" applyBorder="1" applyAlignment="1">
      <alignment horizontal="center"/>
    </xf>
    <xf numFmtId="165" fontId="34" fillId="2" borderId="9" xfId="1" applyFont="1" applyFill="1" applyBorder="1" applyAlignment="1" applyProtection="1">
      <alignment horizontal="center"/>
    </xf>
    <xf numFmtId="165" fontId="5" fillId="4" borderId="0" xfId="1" applyFont="1" applyFill="1" applyBorder="1" applyAlignment="1">
      <alignment horizontal="center"/>
    </xf>
    <xf numFmtId="165" fontId="5" fillId="4" borderId="3" xfId="1" applyFont="1" applyFill="1" applyBorder="1" applyAlignment="1">
      <alignment horizontal="center"/>
    </xf>
    <xf numFmtId="165" fontId="1" fillId="0" borderId="0" xfId="1" applyFill="1"/>
    <xf numFmtId="165" fontId="3" fillId="4" borderId="0" xfId="1" quotePrefix="1" applyFont="1" applyFill="1" applyAlignment="1">
      <alignment horizontal="left"/>
    </xf>
    <xf numFmtId="165" fontId="36" fillId="4" borderId="0" xfId="1" quotePrefix="1" applyFont="1" applyFill="1" applyAlignment="1">
      <alignment horizontal="left"/>
    </xf>
    <xf numFmtId="165" fontId="13" fillId="4" borderId="0" xfId="1" applyFont="1" applyFill="1"/>
    <xf numFmtId="2" fontId="1" fillId="4" borderId="0" xfId="1" applyNumberFormat="1" applyFill="1"/>
    <xf numFmtId="2" fontId="1" fillId="4" borderId="0" xfId="1" applyNumberFormat="1" applyFont="1" applyFill="1"/>
    <xf numFmtId="165" fontId="6" fillId="4" borderId="0" xfId="1" quotePrefix="1" applyFont="1" applyFill="1" applyAlignment="1">
      <alignment horizontal="left"/>
    </xf>
    <xf numFmtId="165" fontId="3" fillId="2" borderId="0" xfId="1" applyFont="1" applyFill="1"/>
    <xf numFmtId="165" fontId="9" fillId="4" borderId="0" xfId="1" quotePrefix="1" applyFont="1" applyFill="1" applyAlignment="1">
      <alignment horizontal="left"/>
    </xf>
    <xf numFmtId="165" fontId="6" fillId="4" borderId="0" xfId="1" applyFont="1" applyFill="1"/>
    <xf numFmtId="9" fontId="6" fillId="4" borderId="0" xfId="1" applyNumberFormat="1" applyFont="1" applyFill="1"/>
    <xf numFmtId="9" fontId="5" fillId="4" borderId="0" xfId="1" applyNumberFormat="1" applyFont="1" applyFill="1"/>
    <xf numFmtId="165" fontId="8" fillId="4" borderId="0" xfId="1" quotePrefix="1" applyFont="1" applyFill="1" applyAlignment="1">
      <alignment horizontal="left"/>
    </xf>
    <xf numFmtId="165" fontId="7" fillId="4" borderId="0" xfId="1" applyFont="1" applyFill="1"/>
    <xf numFmtId="165" fontId="36" fillId="4" borderId="0" xfId="1" applyFont="1" applyFill="1"/>
    <xf numFmtId="165" fontId="10" fillId="4" borderId="0" xfId="1" applyFont="1" applyFill="1" applyProtection="1">
      <protection locked="0"/>
    </xf>
    <xf numFmtId="11" fontId="5" fillId="4" borderId="0" xfId="1" applyNumberFormat="1" applyFont="1" applyFill="1"/>
    <xf numFmtId="1" fontId="5" fillId="0" borderId="0" xfId="1" applyNumberFormat="1" applyFont="1" applyBorder="1"/>
    <xf numFmtId="1" fontId="5" fillId="0" borderId="10" xfId="1" applyNumberFormat="1" applyFont="1" applyBorder="1"/>
    <xf numFmtId="2" fontId="1" fillId="0" borderId="0" xfId="1" applyNumberFormat="1" applyBorder="1"/>
    <xf numFmtId="2" fontId="5" fillId="0" borderId="0" xfId="1" applyNumberFormat="1" applyFont="1" applyBorder="1"/>
    <xf numFmtId="2" fontId="5" fillId="0" borderId="10" xfId="1" applyNumberFormat="1" applyFont="1" applyBorder="1"/>
    <xf numFmtId="2" fontId="6" fillId="0" borderId="0" xfId="1" applyNumberFormat="1" applyFont="1" applyBorder="1"/>
    <xf numFmtId="2" fontId="6" fillId="0" borderId="10" xfId="1" applyNumberFormat="1" applyFont="1" applyBorder="1"/>
    <xf numFmtId="165" fontId="5" fillId="0" borderId="10" xfId="1" applyFont="1" applyBorder="1"/>
    <xf numFmtId="11" fontId="5" fillId="0" borderId="0" xfId="1" applyNumberFormat="1" applyFont="1" applyBorder="1"/>
    <xf numFmtId="11" fontId="5" fillId="0" borderId="10" xfId="1" applyNumberFormat="1" applyFont="1" applyBorder="1"/>
    <xf numFmtId="48" fontId="5" fillId="0" borderId="0" xfId="1" applyNumberFormat="1" applyFont="1" applyBorder="1"/>
    <xf numFmtId="48" fontId="5" fillId="0" borderId="10" xfId="1" applyNumberFormat="1" applyFont="1" applyBorder="1"/>
    <xf numFmtId="2" fontId="5" fillId="0" borderId="11" xfId="1" applyNumberFormat="1" applyFont="1" applyBorder="1"/>
    <xf numFmtId="1" fontId="39" fillId="0" borderId="12" xfId="1" applyNumberFormat="1" applyFont="1" applyBorder="1"/>
    <xf numFmtId="1" fontId="39" fillId="0" borderId="13" xfId="1" applyNumberFormat="1" applyFont="1" applyBorder="1"/>
    <xf numFmtId="165" fontId="5" fillId="0" borderId="14" xfId="1" applyFont="1" applyBorder="1"/>
    <xf numFmtId="165" fontId="5" fillId="0" borderId="15" xfId="1" applyFont="1" applyBorder="1"/>
    <xf numFmtId="1" fontId="40" fillId="0" borderId="16" xfId="1" applyNumberFormat="1" applyFont="1" applyBorder="1"/>
    <xf numFmtId="1" fontId="40" fillId="0" borderId="17" xfId="1" applyNumberFormat="1" applyFont="1" applyBorder="1"/>
    <xf numFmtId="1" fontId="5" fillId="0" borderId="16" xfId="1" applyNumberFormat="1" applyFont="1" applyBorder="1"/>
    <xf numFmtId="1" fontId="5" fillId="0" borderId="17" xfId="1" applyNumberFormat="1" applyFont="1" applyBorder="1"/>
    <xf numFmtId="1" fontId="38" fillId="0" borderId="0" xfId="1" applyNumberFormat="1" applyFont="1" applyBorder="1"/>
    <xf numFmtId="1" fontId="38" fillId="0" borderId="10" xfId="1" applyNumberFormat="1" applyFont="1" applyBorder="1"/>
    <xf numFmtId="2" fontId="38" fillId="0" borderId="16" xfId="1" applyNumberFormat="1" applyFont="1" applyBorder="1"/>
    <xf numFmtId="2" fontId="38" fillId="0" borderId="17" xfId="1" applyNumberFormat="1" applyFont="1" applyBorder="1"/>
    <xf numFmtId="168" fontId="5" fillId="4" borderId="0" xfId="1" applyNumberFormat="1" applyFont="1" applyFill="1" applyBorder="1" applyAlignment="1">
      <alignment horizontal="center"/>
    </xf>
    <xf numFmtId="165" fontId="1" fillId="4" borderId="0" xfId="1" applyFill="1" applyBorder="1" applyAlignment="1">
      <alignment horizontal="center"/>
    </xf>
    <xf numFmtId="165" fontId="5" fillId="4" borderId="0" xfId="1" applyFont="1" applyFill="1" applyBorder="1" applyAlignment="1" applyProtection="1">
      <alignment horizontal="center"/>
      <protection locked="0"/>
    </xf>
    <xf numFmtId="165" fontId="3" fillId="4" borderId="6" xfId="1" applyFont="1" applyFill="1" applyBorder="1"/>
    <xf numFmtId="165" fontId="3" fillId="4" borderId="0" xfId="1" applyFont="1" applyFill="1" applyBorder="1"/>
    <xf numFmtId="1" fontId="39" fillId="0" borderId="0" xfId="1" applyNumberFormat="1" applyFont="1" applyBorder="1"/>
    <xf numFmtId="1" fontId="39" fillId="0" borderId="10" xfId="1" applyNumberFormat="1" applyFont="1" applyBorder="1"/>
    <xf numFmtId="0" fontId="0" fillId="0" borderId="0" xfId="0" applyFill="1"/>
    <xf numFmtId="0" fontId="25" fillId="2" borderId="18" xfId="0" applyFont="1" applyFill="1" applyBorder="1" applyAlignment="1">
      <alignment horizontal="center"/>
    </xf>
    <xf numFmtId="0" fontId="23" fillId="4" borderId="18" xfId="0" applyFont="1" applyFill="1" applyBorder="1"/>
    <xf numFmtId="0" fontId="23" fillId="4" borderId="18" xfId="0" applyFont="1" applyFill="1" applyBorder="1" applyAlignment="1">
      <alignment wrapText="1"/>
    </xf>
    <xf numFmtId="2" fontId="25" fillId="2" borderId="19" xfId="0" applyNumberFormat="1" applyFont="1" applyFill="1" applyBorder="1" applyAlignment="1">
      <alignment horizontal="center"/>
    </xf>
    <xf numFmtId="0" fontId="23" fillId="4" borderId="19" xfId="0" applyFont="1" applyFill="1" applyBorder="1"/>
    <xf numFmtId="0" fontId="25" fillId="2" borderId="19" xfId="0" applyFont="1" applyFill="1" applyBorder="1" applyAlignment="1">
      <alignment horizontal="center"/>
    </xf>
    <xf numFmtId="0" fontId="23" fillId="4" borderId="20" xfId="0" quotePrefix="1" applyFont="1" applyFill="1" applyBorder="1" applyAlignment="1">
      <alignment horizontal="center" wrapText="1"/>
    </xf>
    <xf numFmtId="0" fontId="23" fillId="4" borderId="21" xfId="0" applyFont="1" applyFill="1" applyBorder="1" applyAlignment="1">
      <alignment horizontal="center"/>
    </xf>
    <xf numFmtId="0" fontId="23" fillId="4" borderId="22" xfId="0" applyFont="1" applyFill="1" applyBorder="1" applyAlignment="1">
      <alignment horizontal="center"/>
    </xf>
    <xf numFmtId="1" fontId="26" fillId="2" borderId="11" xfId="0" applyNumberFormat="1" applyFont="1" applyFill="1" applyBorder="1" applyAlignment="1">
      <alignment horizontal="center"/>
    </xf>
    <xf numFmtId="49" fontId="11" fillId="2" borderId="0" xfId="1" applyNumberFormat="1" applyFont="1" applyFill="1" applyAlignment="1">
      <alignment horizontal="right"/>
    </xf>
    <xf numFmtId="1" fontId="33" fillId="2" borderId="19" xfId="0" applyNumberFormat="1" applyFont="1" applyFill="1" applyBorder="1" applyAlignment="1">
      <alignment horizontal="center"/>
    </xf>
    <xf numFmtId="0" fontId="0" fillId="3" borderId="0" xfId="0" applyFill="1"/>
    <xf numFmtId="165" fontId="1" fillId="3" borderId="0" xfId="1" applyFill="1"/>
    <xf numFmtId="0" fontId="23" fillId="4" borderId="18" xfId="0" quotePrefix="1" applyFont="1" applyFill="1" applyBorder="1" applyAlignment="1">
      <alignment horizontal="left" wrapText="1"/>
    </xf>
    <xf numFmtId="9" fontId="25" fillId="2" borderId="23" xfId="0" applyNumberFormat="1" applyFont="1" applyFill="1" applyBorder="1" applyAlignment="1">
      <alignment horizontal="center"/>
    </xf>
    <xf numFmtId="0" fontId="27" fillId="2" borderId="0" xfId="0" quotePrefix="1" applyFont="1" applyFill="1" applyAlignment="1">
      <alignment horizontal="center"/>
    </xf>
    <xf numFmtId="0" fontId="0" fillId="3" borderId="24" xfId="0" applyFill="1" applyBorder="1"/>
    <xf numFmtId="1" fontId="0" fillId="3" borderId="25" xfId="0" applyNumberFormat="1" applyFill="1" applyBorder="1"/>
    <xf numFmtId="0" fontId="0" fillId="3" borderId="26" xfId="0" applyFill="1" applyBorder="1"/>
    <xf numFmtId="0" fontId="0" fillId="3" borderId="25" xfId="0" applyFill="1" applyBorder="1"/>
    <xf numFmtId="0" fontId="0" fillId="3" borderId="27" xfId="0" applyFill="1" applyBorder="1"/>
    <xf numFmtId="0" fontId="0" fillId="3" borderId="28" xfId="0" applyFill="1" applyBorder="1"/>
    <xf numFmtId="165" fontId="51" fillId="3" borderId="0" xfId="1" applyFont="1" applyFill="1" applyAlignment="1">
      <alignment horizontal="right" wrapText="1"/>
    </xf>
    <xf numFmtId="169" fontId="1" fillId="3" borderId="0" xfId="1" applyNumberFormat="1" applyFill="1" applyAlignment="1">
      <alignment horizontal="right"/>
    </xf>
    <xf numFmtId="1" fontId="1" fillId="3" borderId="0" xfId="1" applyNumberFormat="1" applyFill="1"/>
    <xf numFmtId="0" fontId="0" fillId="3" borderId="0" xfId="0" applyFill="1" applyAlignment="1"/>
    <xf numFmtId="49" fontId="11" fillId="3" borderId="0" xfId="1" applyNumberFormat="1" applyFont="1" applyFill="1" applyAlignment="1">
      <alignment horizontal="right"/>
    </xf>
    <xf numFmtId="49" fontId="28" fillId="3" borderId="0" xfId="1" applyNumberFormat="1" applyFont="1" applyFill="1" applyAlignment="1">
      <alignment horizontal="center"/>
    </xf>
    <xf numFmtId="49" fontId="14" fillId="3" borderId="0" xfId="1" applyNumberFormat="1" applyFont="1" applyFill="1" applyAlignment="1">
      <alignment horizontal="right"/>
    </xf>
    <xf numFmtId="49" fontId="14" fillId="3" borderId="0" xfId="1" applyNumberFormat="1" applyFont="1" applyFill="1" applyAlignment="1">
      <alignment horizontal="left"/>
    </xf>
    <xf numFmtId="165" fontId="3" fillId="3" borderId="0" xfId="1" applyFont="1" applyFill="1"/>
    <xf numFmtId="2" fontId="1" fillId="3" borderId="0" xfId="1" applyNumberFormat="1" applyFill="1"/>
    <xf numFmtId="49" fontId="15" fillId="3" borderId="0" xfId="1" applyNumberFormat="1" applyFont="1" applyFill="1" applyAlignment="1">
      <alignment horizontal="right"/>
    </xf>
    <xf numFmtId="165" fontId="7" fillId="3" borderId="0" xfId="1" applyFont="1" applyFill="1"/>
    <xf numFmtId="49" fontId="7" fillId="3" borderId="0" xfId="1" applyNumberFormat="1" applyFont="1" applyFill="1" applyAlignment="1">
      <alignment horizontal="right"/>
    </xf>
    <xf numFmtId="49" fontId="14" fillId="3" borderId="0" xfId="1" quotePrefix="1" applyNumberFormat="1" applyFont="1" applyFill="1" applyAlignment="1">
      <alignment horizontal="right"/>
    </xf>
    <xf numFmtId="165" fontId="41" fillId="3" borderId="29" xfId="1" quotePrefix="1" applyFont="1" applyFill="1" applyBorder="1" applyAlignment="1">
      <alignment horizontal="left"/>
    </xf>
    <xf numFmtId="165" fontId="1" fillId="3" borderId="29" xfId="1" applyFill="1" applyBorder="1"/>
    <xf numFmtId="0" fontId="0" fillId="3" borderId="29" xfId="0" applyFill="1" applyBorder="1"/>
    <xf numFmtId="165" fontId="12" fillId="3" borderId="0" xfId="1" quotePrefix="1" applyFont="1" applyFill="1" applyAlignment="1">
      <alignment horizontal="left"/>
    </xf>
    <xf numFmtId="165" fontId="5" fillId="3" borderId="0" xfId="1" applyFont="1" applyFill="1"/>
    <xf numFmtId="165" fontId="34" fillId="3" borderId="0" xfId="1" applyFont="1" applyFill="1" applyProtection="1">
      <protection locked="0"/>
    </xf>
    <xf numFmtId="165" fontId="6" fillId="3" borderId="0" xfId="1" quotePrefix="1" applyFont="1" applyFill="1" applyAlignment="1">
      <alignment horizontal="left"/>
    </xf>
    <xf numFmtId="165" fontId="6" fillId="3" borderId="0" xfId="1" applyFont="1" applyFill="1"/>
    <xf numFmtId="0" fontId="6" fillId="3" borderId="0" xfId="1" applyNumberFormat="1" applyFont="1" applyFill="1"/>
    <xf numFmtId="11" fontId="5" fillId="3" borderId="0" xfId="1" applyNumberFormat="1" applyFont="1" applyFill="1"/>
    <xf numFmtId="0" fontId="5" fillId="3" borderId="0" xfId="1" applyNumberFormat="1" applyFont="1" applyFill="1"/>
    <xf numFmtId="11" fontId="1" fillId="3" borderId="0" xfId="1" applyNumberFormat="1" applyFill="1"/>
    <xf numFmtId="1" fontId="3" fillId="2" borderId="0" xfId="1" applyNumberFormat="1" applyFont="1" applyFill="1"/>
    <xf numFmtId="1" fontId="1" fillId="2" borderId="0" xfId="1" applyNumberFormat="1" applyFill="1"/>
    <xf numFmtId="2" fontId="1" fillId="2" borderId="0" xfId="1" applyNumberFormat="1" applyFill="1"/>
    <xf numFmtId="165" fontId="7" fillId="2" borderId="0" xfId="1" applyFont="1" applyFill="1"/>
    <xf numFmtId="11" fontId="5" fillId="2" borderId="0" xfId="1" applyNumberFormat="1" applyFont="1" applyFill="1"/>
    <xf numFmtId="48" fontId="5" fillId="2" borderId="0" xfId="1" applyNumberFormat="1" applyFont="1" applyFill="1"/>
    <xf numFmtId="2" fontId="5" fillId="2" borderId="0" xfId="1" applyNumberFormat="1" applyFont="1" applyFill="1"/>
    <xf numFmtId="165" fontId="5" fillId="2" borderId="0" xfId="1" applyFont="1" applyFill="1"/>
    <xf numFmtId="0" fontId="0" fillId="0" borderId="8" xfId="0" applyFill="1" applyBorder="1"/>
    <xf numFmtId="0" fontId="0" fillId="0" borderId="9" xfId="0" applyFill="1" applyBorder="1"/>
    <xf numFmtId="165" fontId="51" fillId="2" borderId="0" xfId="1" applyFont="1" applyFill="1" applyAlignment="1">
      <alignment horizontal="right" wrapText="1"/>
    </xf>
    <xf numFmtId="169" fontId="1" fillId="2" borderId="0" xfId="1" applyNumberFormat="1" applyFill="1" applyAlignment="1">
      <alignment horizontal="right"/>
    </xf>
    <xf numFmtId="2" fontId="5" fillId="4" borderId="0" xfId="1" applyNumberFormat="1" applyFont="1" applyFill="1" applyBorder="1"/>
    <xf numFmtId="165" fontId="5" fillId="4" borderId="0" xfId="1" quotePrefix="1" applyFont="1" applyFill="1" applyBorder="1" applyAlignment="1">
      <alignment horizontal="left"/>
    </xf>
    <xf numFmtId="165" fontId="1" fillId="3" borderId="0" xfId="1" applyFill="1" applyBorder="1"/>
    <xf numFmtId="165" fontId="1" fillId="4" borderId="1" xfId="1" applyFill="1" applyBorder="1"/>
    <xf numFmtId="0" fontId="0" fillId="4" borderId="0" xfId="0" applyFill="1"/>
    <xf numFmtId="49" fontId="43" fillId="3" borderId="0" xfId="1" applyNumberFormat="1" applyFont="1" applyFill="1" applyAlignment="1">
      <alignment horizontal="left"/>
    </xf>
    <xf numFmtId="49" fontId="11" fillId="0" borderId="6" xfId="1" applyNumberFormat="1" applyFont="1" applyFill="1" applyBorder="1" applyAlignment="1">
      <alignment horizontal="right"/>
    </xf>
    <xf numFmtId="49" fontId="11" fillId="0" borderId="7" xfId="1" applyNumberFormat="1" applyFont="1" applyFill="1" applyBorder="1" applyAlignment="1">
      <alignment horizontal="right"/>
    </xf>
    <xf numFmtId="0" fontId="17" fillId="0" borderId="18" xfId="0" applyFont="1" applyFill="1" applyBorder="1" applyAlignment="1">
      <alignment horizontal="center"/>
    </xf>
    <xf numFmtId="0" fontId="17" fillId="0" borderId="30" xfId="0" applyFont="1" applyFill="1" applyBorder="1" applyAlignment="1" applyProtection="1">
      <alignment horizontal="center"/>
    </xf>
    <xf numFmtId="0" fontId="0" fillId="2" borderId="31" xfId="0" applyFill="1" applyBorder="1"/>
    <xf numFmtId="0" fontId="0" fillId="2" borderId="32" xfId="0" applyFill="1" applyBorder="1"/>
    <xf numFmtId="0" fontId="0" fillId="2" borderId="33" xfId="0" applyFill="1" applyBorder="1"/>
    <xf numFmtId="0" fontId="4" fillId="4" borderId="13" xfId="0" applyFont="1" applyFill="1" applyBorder="1"/>
    <xf numFmtId="0" fontId="20" fillId="4" borderId="0" xfId="0" applyFont="1" applyFill="1" applyBorder="1" applyAlignment="1">
      <alignment horizontal="center"/>
    </xf>
    <xf numFmtId="0" fontId="52" fillId="4" borderId="0" xfId="0" applyFont="1" applyFill="1" applyAlignment="1">
      <alignment horizontal="center"/>
    </xf>
    <xf numFmtId="0" fontId="24" fillId="4" borderId="10" xfId="0" quotePrefix="1" applyFont="1" applyFill="1" applyBorder="1" applyAlignment="1">
      <alignment horizontal="center" wrapText="1"/>
    </xf>
    <xf numFmtId="0" fontId="0" fillId="4" borderId="0" xfId="0" applyFill="1" applyBorder="1"/>
    <xf numFmtId="0" fontId="18" fillId="4" borderId="16" xfId="0" applyFont="1" applyFill="1" applyBorder="1" applyAlignment="1">
      <alignment horizontal="center"/>
    </xf>
    <xf numFmtId="0" fontId="22" fillId="4" borderId="16" xfId="0" applyFont="1" applyFill="1" applyBorder="1" applyAlignment="1">
      <alignment horizontal="center" wrapText="1"/>
    </xf>
    <xf numFmtId="0" fontId="22" fillId="4" borderId="16" xfId="0" applyFont="1" applyFill="1" applyBorder="1" applyAlignment="1">
      <alignment wrapText="1"/>
    </xf>
    <xf numFmtId="0" fontId="0" fillId="2" borderId="34" xfId="0" applyFill="1" applyBorder="1"/>
    <xf numFmtId="0" fontId="0" fillId="2" borderId="35" xfId="0" applyFill="1" applyBorder="1"/>
    <xf numFmtId="0" fontId="0" fillId="2" borderId="36" xfId="0" applyFill="1" applyBorder="1"/>
    <xf numFmtId="0" fontId="0" fillId="2" borderId="37" xfId="0" applyFill="1" applyBorder="1"/>
    <xf numFmtId="0" fontId="0" fillId="2" borderId="38" xfId="0" applyFill="1" applyBorder="1"/>
    <xf numFmtId="0" fontId="0" fillId="2" borderId="0" xfId="0" applyFill="1" applyBorder="1"/>
    <xf numFmtId="0" fontId="0" fillId="2" borderId="16" xfId="0" applyFill="1" applyBorder="1"/>
    <xf numFmtId="0" fontId="23" fillId="2" borderId="37" xfId="0" applyFont="1" applyFill="1" applyBorder="1"/>
    <xf numFmtId="0" fontId="0" fillId="2" borderId="39" xfId="0" applyFill="1" applyBorder="1"/>
    <xf numFmtId="0" fontId="0" fillId="4" borderId="40" xfId="0" applyFill="1" applyBorder="1"/>
    <xf numFmtId="0" fontId="0" fillId="4" borderId="40" xfId="0" applyFill="1" applyBorder="1" applyAlignment="1"/>
    <xf numFmtId="0" fontId="50" fillId="4" borderId="40" xfId="0" applyFont="1" applyFill="1" applyBorder="1" applyAlignment="1"/>
    <xf numFmtId="0" fontId="0" fillId="4" borderId="19" xfId="0" applyFill="1" applyBorder="1"/>
    <xf numFmtId="0" fontId="29" fillId="4" borderId="19" xfId="0" applyFont="1" applyFill="1" applyBorder="1" applyAlignment="1">
      <alignment wrapText="1"/>
    </xf>
    <xf numFmtId="0" fontId="0" fillId="4" borderId="19" xfId="0" applyFill="1" applyBorder="1" applyAlignment="1"/>
    <xf numFmtId="0" fontId="0" fillId="4" borderId="41" xfId="0" applyFill="1" applyBorder="1"/>
    <xf numFmtId="0" fontId="0" fillId="4" borderId="23" xfId="0" applyFill="1" applyBorder="1"/>
    <xf numFmtId="0" fontId="0" fillId="2" borderId="42" xfId="0" applyFill="1" applyBorder="1"/>
    <xf numFmtId="0" fontId="23" fillId="2" borderId="40" xfId="0" applyFont="1" applyFill="1" applyBorder="1"/>
    <xf numFmtId="165" fontId="1" fillId="4" borderId="0" xfId="1" applyFill="1" applyAlignment="1">
      <alignment horizontal="center"/>
    </xf>
    <xf numFmtId="1" fontId="23" fillId="3" borderId="3" xfId="0" applyNumberFormat="1" applyFont="1" applyFill="1" applyBorder="1" applyAlignment="1">
      <alignment horizontal="center"/>
    </xf>
    <xf numFmtId="1" fontId="23" fillId="3" borderId="9" xfId="0" applyNumberFormat="1" applyFont="1" applyFill="1" applyBorder="1" applyAlignment="1">
      <alignment horizontal="center"/>
    </xf>
    <xf numFmtId="0" fontId="23" fillId="3" borderId="0" xfId="0" applyFont="1" applyFill="1" applyBorder="1" applyAlignment="1">
      <alignment horizontal="center"/>
    </xf>
    <xf numFmtId="0" fontId="23" fillId="3" borderId="8" xfId="0" applyFont="1" applyFill="1" applyBorder="1" applyAlignment="1">
      <alignment horizontal="center"/>
    </xf>
    <xf numFmtId="1" fontId="23" fillId="3" borderId="0" xfId="0" quotePrefix="1" applyNumberFormat="1" applyFont="1" applyFill="1" applyBorder="1" applyAlignment="1">
      <alignment horizontal="center"/>
    </xf>
    <xf numFmtId="1" fontId="23" fillId="3" borderId="0" xfId="0" applyNumberFormat="1" applyFont="1" applyFill="1" applyBorder="1" applyAlignment="1">
      <alignment horizontal="center"/>
    </xf>
    <xf numFmtId="1" fontId="23" fillId="3" borderId="8" xfId="0" applyNumberFormat="1" applyFont="1" applyFill="1" applyBorder="1" applyAlignment="1">
      <alignment horizontal="center"/>
    </xf>
    <xf numFmtId="9" fontId="23" fillId="3" borderId="6" xfId="0" applyNumberFormat="1" applyFont="1" applyFill="1" applyBorder="1" applyAlignment="1">
      <alignment horizontal="center"/>
    </xf>
    <xf numFmtId="9" fontId="23" fillId="3" borderId="7" xfId="0" applyNumberFormat="1" applyFont="1" applyFill="1" applyBorder="1" applyAlignment="1">
      <alignment horizontal="center"/>
    </xf>
    <xf numFmtId="0" fontId="54" fillId="3" borderId="0" xfId="0" applyFont="1" applyFill="1" applyBorder="1"/>
    <xf numFmtId="0" fontId="54" fillId="3" borderId="10" xfId="0" applyFont="1" applyFill="1" applyBorder="1"/>
    <xf numFmtId="1" fontId="54" fillId="3" borderId="0" xfId="0" applyNumberFormat="1" applyFont="1" applyFill="1" applyBorder="1" applyAlignment="1">
      <alignment horizontal="center"/>
    </xf>
    <xf numFmtId="2" fontId="54" fillId="3" borderId="0" xfId="0" applyNumberFormat="1" applyFont="1" applyFill="1" applyBorder="1" applyAlignment="1">
      <alignment horizontal="center"/>
    </xf>
    <xf numFmtId="1" fontId="54" fillId="3" borderId="10" xfId="0" applyNumberFormat="1" applyFont="1" applyFill="1" applyBorder="1" applyAlignment="1">
      <alignment horizontal="center"/>
    </xf>
    <xf numFmtId="1" fontId="54" fillId="3" borderId="11" xfId="0" applyNumberFormat="1" applyFont="1" applyFill="1" applyBorder="1" applyAlignment="1">
      <alignment horizontal="center"/>
    </xf>
    <xf numFmtId="2" fontId="54" fillId="3" borderId="11" xfId="0" applyNumberFormat="1" applyFont="1" applyFill="1" applyBorder="1" applyAlignment="1">
      <alignment horizontal="center"/>
    </xf>
    <xf numFmtId="1" fontId="54" fillId="3" borderId="43" xfId="0" applyNumberFormat="1" applyFont="1" applyFill="1" applyBorder="1" applyAlignment="1">
      <alignment horizontal="center"/>
    </xf>
    <xf numFmtId="165" fontId="1" fillId="3" borderId="0" xfId="1" applyFont="1" applyFill="1"/>
    <xf numFmtId="165" fontId="1" fillId="4" borderId="0" xfId="1" quotePrefix="1" applyFont="1" applyFill="1" applyAlignment="1">
      <alignment horizontal="left"/>
    </xf>
    <xf numFmtId="164" fontId="2" fillId="4" borderId="0" xfId="1" applyNumberFormat="1" applyFont="1" applyFill="1" applyAlignment="1">
      <alignment horizontal="center"/>
    </xf>
    <xf numFmtId="165" fontId="4" fillId="4" borderId="44" xfId="1" quotePrefix="1" applyFont="1" applyFill="1" applyBorder="1" applyAlignment="1">
      <alignment horizontal="left"/>
    </xf>
    <xf numFmtId="0" fontId="0" fillId="4" borderId="0" xfId="0" applyFill="1" applyAlignment="1"/>
    <xf numFmtId="165" fontId="1" fillId="4" borderId="8" xfId="1" applyFill="1" applyBorder="1" applyAlignment="1">
      <alignment horizontal="center"/>
    </xf>
    <xf numFmtId="165" fontId="56" fillId="4" borderId="3" xfId="1" applyFont="1" applyFill="1" applyBorder="1" applyAlignment="1">
      <alignment horizontal="right"/>
    </xf>
    <xf numFmtId="165" fontId="5" fillId="4" borderId="0" xfId="1" applyFont="1" applyFill="1" applyAlignment="1">
      <alignment horizontal="left"/>
    </xf>
    <xf numFmtId="166" fontId="10" fillId="4" borderId="0" xfId="1" applyNumberFormat="1" applyFont="1" applyFill="1" applyAlignment="1" applyProtection="1">
      <alignment horizontal="right"/>
      <protection locked="0"/>
    </xf>
    <xf numFmtId="11" fontId="1" fillId="3" borderId="0" xfId="1" quotePrefix="1" applyNumberFormat="1" applyFont="1" applyFill="1" applyAlignment="1">
      <alignment horizontal="left"/>
    </xf>
    <xf numFmtId="165" fontId="32" fillId="2" borderId="3" xfId="1" applyFont="1" applyFill="1" applyBorder="1" applyAlignment="1">
      <alignment horizontal="left" wrapText="1"/>
    </xf>
    <xf numFmtId="165" fontId="1" fillId="4" borderId="0" xfId="1" applyFont="1" applyFill="1" applyAlignment="1">
      <alignment horizontal="left"/>
    </xf>
    <xf numFmtId="0" fontId="59" fillId="3" borderId="45" xfId="0" quotePrefix="1" applyFont="1" applyFill="1" applyBorder="1" applyAlignment="1">
      <alignment horizontal="left"/>
    </xf>
    <xf numFmtId="1" fontId="1" fillId="0" borderId="0" xfId="1" applyNumberFormat="1" applyFont="1"/>
    <xf numFmtId="165" fontId="1" fillId="0" borderId="0" xfId="1" applyFont="1"/>
    <xf numFmtId="2" fontId="1" fillId="0" borderId="0" xfId="1" applyNumberFormat="1" applyFont="1"/>
    <xf numFmtId="164" fontId="55" fillId="4" borderId="0" xfId="1" applyNumberFormat="1" applyFont="1" applyFill="1" applyBorder="1" applyAlignment="1" applyProtection="1">
      <alignment horizontal="center"/>
      <protection locked="0"/>
    </xf>
    <xf numFmtId="165" fontId="1" fillId="0" borderId="0" xfId="1" applyProtection="1">
      <protection locked="0"/>
    </xf>
    <xf numFmtId="2" fontId="1" fillId="0" borderId="0" xfId="1" applyNumberFormat="1" applyProtection="1">
      <protection locked="0"/>
    </xf>
    <xf numFmtId="2" fontId="0" fillId="0" borderId="0" xfId="0" applyNumberFormat="1"/>
    <xf numFmtId="0" fontId="0" fillId="0" borderId="0" xfId="0" applyFill="1" applyBorder="1"/>
    <xf numFmtId="0" fontId="60" fillId="4" borderId="0" xfId="0" applyFont="1" applyFill="1" applyBorder="1"/>
    <xf numFmtId="0" fontId="62" fillId="4" borderId="12" xfId="0" applyFont="1" applyFill="1" applyBorder="1" applyAlignment="1">
      <alignment horizontal="center"/>
    </xf>
    <xf numFmtId="0" fontId="62" fillId="4" borderId="12" xfId="0" applyFont="1" applyFill="1" applyBorder="1"/>
    <xf numFmtId="0" fontId="62" fillId="3" borderId="0" xfId="0" applyFont="1" applyFill="1"/>
    <xf numFmtId="2" fontId="61" fillId="3" borderId="0" xfId="0" applyNumberFormat="1" applyFont="1" applyFill="1" applyAlignment="1">
      <alignment horizontal="center"/>
    </xf>
    <xf numFmtId="0" fontId="61" fillId="3" borderId="0" xfId="0" applyFont="1" applyFill="1" applyAlignment="1">
      <alignment horizontal="left"/>
    </xf>
    <xf numFmtId="1" fontId="61" fillId="4" borderId="12" xfId="0" applyNumberFormat="1" applyFont="1" applyFill="1" applyBorder="1" applyAlignment="1">
      <alignment horizontal="center"/>
    </xf>
    <xf numFmtId="0" fontId="62" fillId="3" borderId="0" xfId="0" applyFont="1" applyFill="1" applyAlignment="1">
      <alignment horizontal="center"/>
    </xf>
    <xf numFmtId="2" fontId="64" fillId="3" borderId="0" xfId="0" applyNumberFormat="1" applyFont="1" applyFill="1"/>
    <xf numFmtId="1" fontId="64" fillId="4" borderId="12" xfId="0" applyNumberFormat="1" applyFont="1" applyFill="1" applyBorder="1"/>
    <xf numFmtId="168" fontId="2" fillId="4" borderId="0" xfId="1" applyNumberFormat="1" applyFont="1" applyFill="1" applyBorder="1" applyAlignment="1">
      <alignment horizontal="center"/>
    </xf>
    <xf numFmtId="165" fontId="2" fillId="4" borderId="6" xfId="1" quotePrefix="1" applyFont="1" applyFill="1" applyBorder="1" applyAlignment="1">
      <alignment horizontal="left"/>
    </xf>
    <xf numFmtId="168" fontId="2" fillId="4" borderId="0" xfId="1" quotePrefix="1" applyNumberFormat="1" applyFont="1" applyFill="1" applyBorder="1" applyAlignment="1">
      <alignment horizontal="center"/>
    </xf>
    <xf numFmtId="165" fontId="0" fillId="0" borderId="0" xfId="0" applyNumberFormat="1"/>
    <xf numFmtId="165" fontId="22" fillId="4" borderId="0" xfId="1" applyFont="1" applyFill="1"/>
    <xf numFmtId="0" fontId="18" fillId="0" borderId="5" xfId="0" applyFont="1" applyBorder="1" applyProtection="1">
      <protection locked="0"/>
    </xf>
    <xf numFmtId="0" fontId="62" fillId="4" borderId="0" xfId="0" applyFont="1" applyFill="1" applyBorder="1" applyAlignment="1">
      <alignment horizontal="left" wrapText="1"/>
    </xf>
    <xf numFmtId="0" fontId="64" fillId="4" borderId="0" xfId="0" applyFont="1" applyFill="1" applyBorder="1" applyAlignment="1">
      <alignment horizontal="right" wrapText="1"/>
    </xf>
    <xf numFmtId="0" fontId="63" fillId="5" borderId="46" xfId="0" applyFont="1" applyFill="1" applyBorder="1" applyProtection="1">
      <protection locked="0"/>
    </xf>
    <xf numFmtId="165" fontId="31" fillId="2" borderId="0" xfId="1" applyFont="1" applyFill="1" applyAlignment="1">
      <alignment horizontal="center"/>
    </xf>
    <xf numFmtId="165" fontId="22" fillId="3" borderId="0" xfId="1" applyFont="1" applyFill="1"/>
    <xf numFmtId="49" fontId="65" fillId="3" borderId="0" xfId="1" quotePrefix="1" applyNumberFormat="1" applyFont="1" applyFill="1" applyAlignment="1">
      <alignment horizontal="left"/>
    </xf>
    <xf numFmtId="0" fontId="61" fillId="0" borderId="0" xfId="0" applyFont="1"/>
    <xf numFmtId="1" fontId="0" fillId="0" borderId="0" xfId="0" applyNumberFormat="1"/>
    <xf numFmtId="0" fontId="63" fillId="0" borderId="47" xfId="0" applyFont="1" applyBorder="1"/>
    <xf numFmtId="0" fontId="64" fillId="0" borderId="12" xfId="0" applyFont="1" applyBorder="1"/>
    <xf numFmtId="0" fontId="0" fillId="0" borderId="12" xfId="0" applyBorder="1"/>
    <xf numFmtId="0" fontId="0" fillId="0" borderId="48" xfId="0" applyBorder="1"/>
    <xf numFmtId="2" fontId="0" fillId="0" borderId="0" xfId="0" applyNumberFormat="1" applyBorder="1"/>
    <xf numFmtId="0" fontId="0" fillId="0" borderId="10" xfId="0" applyBorder="1"/>
    <xf numFmtId="0" fontId="61" fillId="0" borderId="0" xfId="0" applyFont="1" applyBorder="1"/>
    <xf numFmtId="0" fontId="63" fillId="0" borderId="48" xfId="0" applyFont="1" applyBorder="1"/>
    <xf numFmtId="0" fontId="64" fillId="0" borderId="0" xfId="0" applyFont="1" applyBorder="1"/>
    <xf numFmtId="10" fontId="0" fillId="0" borderId="0" xfId="0" quotePrefix="1" applyNumberFormat="1" applyBorder="1"/>
    <xf numFmtId="0" fontId="0" fillId="0" borderId="49" xfId="0" applyBorder="1"/>
    <xf numFmtId="0" fontId="0" fillId="0" borderId="11" xfId="0" applyBorder="1"/>
    <xf numFmtId="0" fontId="0" fillId="0" borderId="43" xfId="0" applyBorder="1"/>
    <xf numFmtId="0" fontId="0" fillId="0" borderId="50" xfId="0" applyBorder="1"/>
    <xf numFmtId="0" fontId="0" fillId="0" borderId="16" xfId="0" applyBorder="1"/>
    <xf numFmtId="0" fontId="0" fillId="0" borderId="17" xfId="0" applyBorder="1"/>
    <xf numFmtId="10" fontId="0" fillId="0" borderId="0" xfId="0" applyNumberFormat="1"/>
    <xf numFmtId="0" fontId="75" fillId="0" borderId="0" xfId="0" applyFont="1"/>
    <xf numFmtId="0" fontId="0" fillId="4" borderId="12" xfId="0" applyFill="1" applyBorder="1"/>
    <xf numFmtId="0" fontId="0" fillId="4" borderId="13" xfId="0" applyFill="1" applyBorder="1"/>
    <xf numFmtId="0" fontId="0" fillId="4" borderId="11" xfId="0" applyFill="1" applyBorder="1"/>
    <xf numFmtId="0" fontId="63" fillId="4" borderId="47" xfId="0" applyFont="1" applyFill="1" applyBorder="1"/>
    <xf numFmtId="0" fontId="61" fillId="4" borderId="51" xfId="0" applyFont="1" applyFill="1" applyBorder="1"/>
    <xf numFmtId="0" fontId="0" fillId="4" borderId="14" xfId="0" applyFill="1" applyBorder="1"/>
    <xf numFmtId="0" fontId="61" fillId="4" borderId="14" xfId="0" applyFont="1" applyFill="1" applyBorder="1"/>
    <xf numFmtId="0" fontId="0" fillId="4" borderId="15" xfId="0" applyFill="1" applyBorder="1"/>
    <xf numFmtId="0" fontId="61" fillId="4" borderId="48" xfId="0" applyFont="1" applyFill="1" applyBorder="1"/>
    <xf numFmtId="0" fontId="61" fillId="4" borderId="0" xfId="0" applyFont="1" applyFill="1" applyBorder="1"/>
    <xf numFmtId="0" fontId="0" fillId="4" borderId="10" xfId="0" applyFill="1" applyBorder="1"/>
    <xf numFmtId="0" fontId="61" fillId="4" borderId="48" xfId="0" applyFont="1" applyFill="1" applyBorder="1" applyAlignment="1">
      <alignment horizontal="left" wrapText="1"/>
    </xf>
    <xf numFmtId="0" fontId="0" fillId="4" borderId="48" xfId="0" applyFill="1" applyBorder="1"/>
    <xf numFmtId="0" fontId="22" fillId="4" borderId="47" xfId="0" applyFont="1" applyFill="1" applyBorder="1"/>
    <xf numFmtId="0" fontId="63" fillId="4" borderId="12" xfId="0" applyFont="1" applyFill="1" applyBorder="1"/>
    <xf numFmtId="0" fontId="22" fillId="4" borderId="51" xfId="0" applyFont="1" applyFill="1" applyBorder="1"/>
    <xf numFmtId="0" fontId="22" fillId="4" borderId="49" xfId="0" applyFont="1" applyFill="1" applyBorder="1"/>
    <xf numFmtId="0" fontId="0" fillId="6" borderId="34" xfId="0" applyFill="1" applyBorder="1"/>
    <xf numFmtId="0" fontId="0" fillId="6" borderId="42" xfId="0" applyFill="1" applyBorder="1"/>
    <xf numFmtId="0" fontId="0" fillId="7" borderId="52" xfId="0" applyFill="1" applyBorder="1"/>
    <xf numFmtId="0" fontId="0" fillId="7" borderId="34" xfId="0" applyFill="1" applyBorder="1"/>
    <xf numFmtId="0" fontId="0" fillId="7" borderId="42" xfId="0" applyFill="1" applyBorder="1"/>
    <xf numFmtId="0" fontId="0" fillId="7" borderId="0" xfId="0" applyFill="1" applyBorder="1"/>
    <xf numFmtId="0" fontId="0" fillId="7" borderId="16" xfId="0" applyFill="1" applyBorder="1"/>
    <xf numFmtId="0" fontId="0" fillId="7" borderId="14" xfId="0" applyFill="1" applyBorder="1"/>
    <xf numFmtId="0" fontId="63" fillId="7" borderId="0" xfId="0" applyFont="1" applyFill="1" applyBorder="1"/>
    <xf numFmtId="0" fontId="0" fillId="7" borderId="39" xfId="0" applyFill="1" applyBorder="1"/>
    <xf numFmtId="0" fontId="4" fillId="7" borderId="16" xfId="0" applyFont="1" applyFill="1" applyBorder="1"/>
    <xf numFmtId="2" fontId="0" fillId="3" borderId="0" xfId="0" applyNumberFormat="1" applyFill="1"/>
    <xf numFmtId="2" fontId="0" fillId="3" borderId="0" xfId="0" quotePrefix="1" applyNumberFormat="1" applyFill="1"/>
    <xf numFmtId="0" fontId="0" fillId="7" borderId="0" xfId="0" applyFill="1" applyBorder="1" applyAlignment="1">
      <alignment horizontal="center"/>
    </xf>
    <xf numFmtId="0" fontId="0" fillId="7" borderId="0" xfId="0" applyFill="1"/>
    <xf numFmtId="0" fontId="0" fillId="3" borderId="14" xfId="0" applyFill="1" applyBorder="1"/>
    <xf numFmtId="0" fontId="0" fillId="3" borderId="38" xfId="0" applyFill="1" applyBorder="1"/>
    <xf numFmtId="0" fontId="0" fillId="3" borderId="34" xfId="0" applyFill="1" applyBorder="1"/>
    <xf numFmtId="0" fontId="0" fillId="3" borderId="37" xfId="0" applyFill="1" applyBorder="1"/>
    <xf numFmtId="0" fontId="0" fillId="3" borderId="42" xfId="0" applyFill="1" applyBorder="1"/>
    <xf numFmtId="0" fontId="0" fillId="3" borderId="16" xfId="0" applyFill="1" applyBorder="1"/>
    <xf numFmtId="0" fontId="0" fillId="3" borderId="39" xfId="0" applyFill="1" applyBorder="1"/>
    <xf numFmtId="0" fontId="9" fillId="4" borderId="52" xfId="0" applyFont="1" applyFill="1" applyBorder="1"/>
    <xf numFmtId="0" fontId="0" fillId="4" borderId="38" xfId="0" applyFill="1" applyBorder="1"/>
    <xf numFmtId="0" fontId="0" fillId="4" borderId="34" xfId="0" applyFill="1" applyBorder="1"/>
    <xf numFmtId="0" fontId="0" fillId="4" borderId="37" xfId="0" applyFill="1" applyBorder="1"/>
    <xf numFmtId="0" fontId="0" fillId="4" borderId="0" xfId="0" applyFill="1" applyBorder="1" applyAlignment="1">
      <alignment horizontal="center"/>
    </xf>
    <xf numFmtId="0" fontId="0" fillId="4" borderId="37" xfId="0" applyFill="1" applyBorder="1" applyAlignment="1">
      <alignment horizontal="center"/>
    </xf>
    <xf numFmtId="0" fontId="0" fillId="4" borderId="42" xfId="0" applyFill="1" applyBorder="1"/>
    <xf numFmtId="0" fontId="0" fillId="4" borderId="16" xfId="0" applyFill="1" applyBorder="1"/>
    <xf numFmtId="0" fontId="0" fillId="4" borderId="39" xfId="0" applyFill="1" applyBorder="1"/>
    <xf numFmtId="0" fontId="0" fillId="6" borderId="14" xfId="0" applyFill="1" applyBorder="1"/>
    <xf numFmtId="0" fontId="0" fillId="6" borderId="38" xfId="0" applyFill="1" applyBorder="1"/>
    <xf numFmtId="0" fontId="0" fillId="6" borderId="0" xfId="0" applyFill="1" applyBorder="1"/>
    <xf numFmtId="0" fontId="0" fillId="6" borderId="37" xfId="0" applyFill="1" applyBorder="1"/>
    <xf numFmtId="0" fontId="0" fillId="6" borderId="16" xfId="0" applyFill="1" applyBorder="1"/>
    <xf numFmtId="0" fontId="0" fillId="6" borderId="39" xfId="0" applyFill="1" applyBorder="1"/>
    <xf numFmtId="0" fontId="21" fillId="4" borderId="13" xfId="0" applyFont="1" applyFill="1" applyBorder="1"/>
    <xf numFmtId="0" fontId="21" fillId="4" borderId="10" xfId="0" applyFont="1" applyFill="1" applyBorder="1"/>
    <xf numFmtId="0" fontId="23" fillId="4" borderId="43" xfId="0" applyFont="1" applyFill="1" applyBorder="1"/>
    <xf numFmtId="0" fontId="23" fillId="4" borderId="11" xfId="0" applyFont="1" applyFill="1" applyBorder="1"/>
    <xf numFmtId="0" fontId="17" fillId="4" borderId="12" xfId="0" applyFont="1" applyFill="1" applyBorder="1"/>
    <xf numFmtId="0" fontId="17" fillId="4" borderId="0" xfId="0" applyFont="1" applyFill="1" applyBorder="1"/>
    <xf numFmtId="0" fontId="4" fillId="4" borderId="12" xfId="0" applyFont="1" applyFill="1" applyBorder="1" applyAlignment="1">
      <alignment horizontal="center"/>
    </xf>
    <xf numFmtId="0" fontId="0" fillId="6" borderId="0" xfId="0" applyFill="1" applyBorder="1" applyAlignment="1">
      <alignment horizontal="center"/>
    </xf>
    <xf numFmtId="0" fontId="0" fillId="0" borderId="0" xfId="0" applyFill="1" applyBorder="1" applyAlignment="1">
      <alignment horizontal="center"/>
    </xf>
    <xf numFmtId="1" fontId="4"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0" fontId="9" fillId="6" borderId="52" xfId="0" applyFont="1" applyFill="1" applyBorder="1"/>
    <xf numFmtId="0" fontId="0" fillId="6" borderId="37" xfId="0" applyFill="1" applyBorder="1" applyAlignment="1">
      <alignment horizontal="center"/>
    </xf>
    <xf numFmtId="0" fontId="4" fillId="4" borderId="13" xfId="0" applyFont="1" applyFill="1" applyBorder="1" applyAlignment="1">
      <alignment horizontal="center"/>
    </xf>
    <xf numFmtId="0" fontId="0" fillId="7" borderId="47" xfId="0" applyFill="1" applyBorder="1"/>
    <xf numFmtId="0" fontId="0" fillId="7" borderId="12" xfId="0" applyFill="1" applyBorder="1"/>
    <xf numFmtId="0" fontId="63" fillId="7" borderId="12" xfId="0" applyFont="1" applyFill="1" applyBorder="1"/>
    <xf numFmtId="0" fontId="0" fillId="7" borderId="13" xfId="0" applyFill="1" applyBorder="1"/>
    <xf numFmtId="0" fontId="0" fillId="7" borderId="48" xfId="0" applyFill="1" applyBorder="1"/>
    <xf numFmtId="0" fontId="0" fillId="7" borderId="10" xfId="0" applyFill="1" applyBorder="1"/>
    <xf numFmtId="0" fontId="72" fillId="7" borderId="0" xfId="0" applyFont="1" applyFill="1" applyBorder="1"/>
    <xf numFmtId="0" fontId="0" fillId="7" borderId="49" xfId="0" applyFill="1" applyBorder="1"/>
    <xf numFmtId="0" fontId="0" fillId="3" borderId="14" xfId="0" applyFill="1" applyBorder="1" applyAlignment="1"/>
    <xf numFmtId="0" fontId="0" fillId="3" borderId="34" xfId="0" applyFill="1" applyBorder="1" applyAlignment="1"/>
    <xf numFmtId="0" fontId="0" fillId="7" borderId="43" xfId="0" applyFill="1" applyBorder="1"/>
    <xf numFmtId="0" fontId="0" fillId="7" borderId="11" xfId="0" applyFill="1" applyBorder="1"/>
    <xf numFmtId="0" fontId="78" fillId="3" borderId="0" xfId="0" quotePrefix="1" applyFont="1" applyFill="1" applyBorder="1"/>
    <xf numFmtId="0" fontId="78" fillId="4" borderId="0" xfId="0" quotePrefix="1" applyFont="1" applyFill="1" applyBorder="1"/>
    <xf numFmtId="0" fontId="79" fillId="3" borderId="52" xfId="0" applyFont="1" applyFill="1" applyBorder="1" applyAlignment="1"/>
    <xf numFmtId="1" fontId="4" fillId="3" borderId="48" xfId="0" applyNumberFormat="1" applyFont="1" applyFill="1" applyBorder="1" applyAlignment="1" applyProtection="1">
      <alignment horizontal="center"/>
      <protection hidden="1"/>
    </xf>
    <xf numFmtId="1" fontId="4" fillId="3" borderId="0" xfId="0" applyNumberFormat="1" applyFont="1" applyFill="1" applyBorder="1" applyAlignment="1" applyProtection="1">
      <alignment horizontal="center"/>
      <protection hidden="1"/>
    </xf>
    <xf numFmtId="169" fontId="4" fillId="3" borderId="0" xfId="0" applyNumberFormat="1" applyFont="1" applyFill="1" applyBorder="1" applyAlignment="1" applyProtection="1">
      <alignment horizontal="center"/>
      <protection hidden="1"/>
    </xf>
    <xf numFmtId="1" fontId="4" fillId="3" borderId="10" xfId="0" applyNumberFormat="1" applyFont="1" applyFill="1" applyBorder="1" applyAlignment="1" applyProtection="1">
      <alignment horizontal="center"/>
      <protection hidden="1"/>
    </xf>
    <xf numFmtId="1" fontId="4" fillId="3" borderId="49" xfId="0" applyNumberFormat="1" applyFont="1" applyFill="1" applyBorder="1" applyAlignment="1" applyProtection="1">
      <alignment horizontal="center"/>
      <protection hidden="1"/>
    </xf>
    <xf numFmtId="1" fontId="4" fillId="3" borderId="11" xfId="0" applyNumberFormat="1" applyFont="1" applyFill="1" applyBorder="1" applyAlignment="1" applyProtection="1">
      <alignment horizontal="center"/>
      <protection hidden="1"/>
    </xf>
    <xf numFmtId="169" fontId="4" fillId="3" borderId="11" xfId="0" applyNumberFormat="1" applyFont="1" applyFill="1" applyBorder="1" applyAlignment="1" applyProtection="1">
      <alignment horizontal="center"/>
      <protection hidden="1"/>
    </xf>
    <xf numFmtId="1" fontId="4" fillId="3" borderId="43" xfId="0" applyNumberFormat="1" applyFont="1" applyFill="1" applyBorder="1" applyAlignment="1" applyProtection="1">
      <alignment horizontal="center"/>
      <protection hidden="1"/>
    </xf>
    <xf numFmtId="0" fontId="4" fillId="4" borderId="14" xfId="0" applyFont="1" applyFill="1" applyBorder="1" applyProtection="1">
      <protection hidden="1"/>
    </xf>
    <xf numFmtId="0" fontId="4" fillId="4" borderId="0" xfId="0" applyFont="1" applyFill="1" applyBorder="1" applyProtection="1">
      <protection hidden="1"/>
    </xf>
    <xf numFmtId="0" fontId="4" fillId="4" borderId="0" xfId="0" applyFont="1" applyFill="1" applyBorder="1" applyAlignment="1" applyProtection="1">
      <alignment horizontal="right" wrapText="1"/>
      <protection hidden="1"/>
    </xf>
    <xf numFmtId="1" fontId="62" fillId="4" borderId="11" xfId="0" quotePrefix="1" applyNumberFormat="1" applyFont="1" applyFill="1" applyBorder="1" applyAlignment="1" applyProtection="1">
      <alignment horizontal="center"/>
      <protection hidden="1"/>
    </xf>
    <xf numFmtId="2" fontId="62" fillId="4" borderId="43" xfId="0" quotePrefix="1" applyNumberFormat="1" applyFont="1" applyFill="1" applyBorder="1" applyAlignment="1" applyProtection="1">
      <alignment horizontal="center"/>
      <protection hidden="1"/>
    </xf>
    <xf numFmtId="1" fontId="61" fillId="3" borderId="0" xfId="0" applyNumberFormat="1" applyFont="1" applyFill="1" applyBorder="1" applyAlignment="1" applyProtection="1">
      <alignment horizontal="center"/>
      <protection hidden="1"/>
    </xf>
    <xf numFmtId="1" fontId="0" fillId="3" borderId="0" xfId="0" applyNumberFormat="1" applyFill="1" applyBorder="1" applyAlignment="1" applyProtection="1">
      <alignment horizontal="center"/>
      <protection hidden="1"/>
    </xf>
    <xf numFmtId="0" fontId="0" fillId="3" borderId="0" xfId="0" applyFill="1" applyBorder="1" applyAlignment="1" applyProtection="1">
      <alignment horizontal="center"/>
      <protection hidden="1"/>
    </xf>
    <xf numFmtId="10" fontId="61" fillId="3" borderId="16" xfId="0" applyNumberFormat="1" applyFont="1" applyFill="1" applyBorder="1" applyAlignment="1" applyProtection="1">
      <alignment horizontal="center"/>
      <protection hidden="1"/>
    </xf>
    <xf numFmtId="1" fontId="61" fillId="6" borderId="0" xfId="0" applyNumberFormat="1" applyFont="1" applyFill="1" applyBorder="1" applyAlignment="1" applyProtection="1">
      <alignment horizontal="center"/>
      <protection hidden="1"/>
    </xf>
    <xf numFmtId="1" fontId="0" fillId="6" borderId="0" xfId="0" applyNumberFormat="1" applyFill="1" applyBorder="1" applyAlignment="1" applyProtection="1">
      <alignment horizontal="center"/>
      <protection hidden="1"/>
    </xf>
    <xf numFmtId="0" fontId="0" fillId="6" borderId="0" xfId="0" applyFill="1" applyBorder="1" applyAlignment="1" applyProtection="1">
      <alignment horizontal="center"/>
      <protection hidden="1"/>
    </xf>
    <xf numFmtId="0" fontId="63" fillId="6" borderId="0" xfId="0" quotePrefix="1" applyFont="1" applyFill="1" applyBorder="1" applyAlignment="1" applyProtection="1">
      <alignment horizontal="center"/>
      <protection hidden="1"/>
    </xf>
    <xf numFmtId="10" fontId="61" fillId="6" borderId="16" xfId="0" applyNumberFormat="1" applyFont="1" applyFill="1" applyBorder="1" applyAlignment="1" applyProtection="1">
      <alignment horizontal="center"/>
      <protection hidden="1"/>
    </xf>
    <xf numFmtId="1" fontId="61" fillId="4" borderId="0" xfId="0" applyNumberFormat="1" applyFont="1" applyFill="1" applyBorder="1" applyAlignment="1" applyProtection="1">
      <alignment horizontal="center"/>
      <protection hidden="1"/>
    </xf>
    <xf numFmtId="1" fontId="0" fillId="4" borderId="0" xfId="0" applyNumberFormat="1" applyFill="1" applyBorder="1" applyAlignment="1" applyProtection="1">
      <alignment horizontal="center"/>
      <protection hidden="1"/>
    </xf>
    <xf numFmtId="0" fontId="0" fillId="4" borderId="0" xfId="0" applyFill="1" applyBorder="1" applyAlignment="1" applyProtection="1">
      <alignment horizontal="center"/>
      <protection hidden="1"/>
    </xf>
    <xf numFmtId="0" fontId="61" fillId="4" borderId="0" xfId="0" quotePrefix="1" applyFont="1" applyFill="1" applyBorder="1" applyAlignment="1" applyProtection="1">
      <alignment horizontal="center"/>
      <protection hidden="1"/>
    </xf>
    <xf numFmtId="10" fontId="61" fillId="4" borderId="16" xfId="0" applyNumberFormat="1" applyFont="1" applyFill="1" applyBorder="1" applyAlignment="1" applyProtection="1">
      <alignment horizontal="center"/>
      <protection hidden="1"/>
    </xf>
    <xf numFmtId="0" fontId="61" fillId="0" borderId="53" xfId="0" applyFont="1" applyBorder="1" applyProtection="1">
      <protection locked="0"/>
    </xf>
    <xf numFmtId="0" fontId="61" fillId="0" borderId="54" xfId="0" applyFont="1" applyBorder="1" applyProtection="1">
      <protection locked="0"/>
    </xf>
    <xf numFmtId="0" fontId="61" fillId="7" borderId="55" xfId="0" applyFont="1" applyFill="1" applyBorder="1" applyProtection="1">
      <protection locked="0"/>
    </xf>
    <xf numFmtId="0" fontId="61" fillId="7" borderId="56" xfId="0" applyFont="1" applyFill="1" applyBorder="1" applyProtection="1">
      <protection locked="0"/>
    </xf>
    <xf numFmtId="0" fontId="22" fillId="0" borderId="57" xfId="0" applyFont="1" applyBorder="1" applyProtection="1">
      <protection locked="0"/>
    </xf>
    <xf numFmtId="0" fontId="80" fillId="7" borderId="0" xfId="0" applyFont="1" applyFill="1" applyBorder="1" applyAlignment="1">
      <alignment horizontal="center"/>
    </xf>
    <xf numFmtId="0" fontId="0" fillId="0" borderId="0" xfId="0" applyBorder="1" applyAlignment="1"/>
    <xf numFmtId="0" fontId="0" fillId="0" borderId="6" xfId="0" applyBorder="1" applyAlignment="1"/>
    <xf numFmtId="165" fontId="22" fillId="4" borderId="50" xfId="1" applyFont="1" applyFill="1" applyBorder="1"/>
    <xf numFmtId="0" fontId="61" fillId="0" borderId="54" xfId="0" applyFont="1" applyBorder="1" applyProtection="1">
      <protection locked="0" hidden="1"/>
    </xf>
    <xf numFmtId="0" fontId="78" fillId="6" borderId="0" xfId="0" quotePrefix="1" applyFont="1" applyFill="1" applyBorder="1"/>
    <xf numFmtId="0" fontId="63" fillId="3" borderId="0" xfId="0" quotePrefix="1" applyFont="1" applyFill="1" applyBorder="1" applyProtection="1">
      <protection hidden="1"/>
    </xf>
    <xf numFmtId="0" fontId="0" fillId="7" borderId="0" xfId="0" applyFill="1" applyBorder="1" applyAlignment="1">
      <alignment wrapText="1"/>
    </xf>
    <xf numFmtId="0" fontId="22" fillId="7" borderId="47" xfId="0" applyFont="1" applyFill="1" applyBorder="1"/>
    <xf numFmtId="0" fontId="52" fillId="7" borderId="12" xfId="0" applyFont="1" applyFill="1" applyBorder="1"/>
    <xf numFmtId="0" fontId="52" fillId="7" borderId="48" xfId="0" applyFont="1" applyFill="1" applyBorder="1"/>
    <xf numFmtId="0" fontId="52" fillId="7" borderId="0" xfId="0" applyFont="1" applyFill="1"/>
    <xf numFmtId="0" fontId="61" fillId="7" borderId="0" xfId="0" applyFont="1" applyFill="1"/>
    <xf numFmtId="0" fontId="81" fillId="4" borderId="0" xfId="0" applyFont="1" applyFill="1" applyBorder="1"/>
    <xf numFmtId="0" fontId="52" fillId="4" borderId="0" xfId="0" applyFont="1" applyFill="1" applyBorder="1"/>
    <xf numFmtId="0" fontId="20" fillId="4" borderId="0" xfId="0" applyFont="1" applyFill="1" applyBorder="1"/>
    <xf numFmtId="0" fontId="20" fillId="0" borderId="53" xfId="0" applyFont="1" applyBorder="1" applyProtection="1">
      <protection locked="0"/>
    </xf>
    <xf numFmtId="0" fontId="20" fillId="0" borderId="54" xfId="0" applyFont="1" applyBorder="1" applyProtection="1">
      <protection locked="0"/>
    </xf>
    <xf numFmtId="0" fontId="20" fillId="4" borderId="58" xfId="0" applyFont="1" applyFill="1" applyBorder="1"/>
    <xf numFmtId="0" fontId="20" fillId="7" borderId="56" xfId="0" applyFont="1" applyFill="1" applyBorder="1" applyProtection="1">
      <protection locked="0"/>
    </xf>
    <xf numFmtId="0" fontId="20" fillId="4" borderId="0" xfId="0" applyFont="1" applyFill="1" applyAlignment="1"/>
    <xf numFmtId="0" fontId="20" fillId="7" borderId="57" xfId="0" applyFont="1" applyFill="1" applyBorder="1" applyProtection="1">
      <protection locked="0"/>
    </xf>
    <xf numFmtId="0" fontId="24" fillId="4" borderId="10" xfId="0" applyFont="1" applyFill="1" applyBorder="1" applyAlignment="1">
      <alignment horizontal="center" wrapText="1"/>
    </xf>
    <xf numFmtId="0" fontId="22" fillId="4" borderId="0" xfId="0" applyFont="1" applyFill="1" applyBorder="1" applyAlignment="1">
      <alignment wrapText="1"/>
    </xf>
    <xf numFmtId="1" fontId="4" fillId="3" borderId="59" xfId="0" applyNumberFormat="1" applyFont="1" applyFill="1" applyBorder="1" applyAlignment="1">
      <alignment horizontal="center"/>
    </xf>
    <xf numFmtId="169" fontId="4" fillId="3" borderId="0" xfId="0" applyNumberFormat="1" applyFont="1" applyFill="1" applyAlignment="1">
      <alignment horizontal="center"/>
    </xf>
    <xf numFmtId="2" fontId="4" fillId="3" borderId="0" xfId="1" applyNumberFormat="1" applyFont="1" applyFill="1" applyBorder="1" applyAlignment="1">
      <alignment horizontal="center"/>
    </xf>
    <xf numFmtId="2" fontId="4" fillId="3" borderId="0" xfId="0" applyNumberFormat="1" applyFont="1" applyFill="1" applyBorder="1" applyAlignment="1" applyProtection="1">
      <alignment horizontal="center"/>
      <protection hidden="1"/>
    </xf>
    <xf numFmtId="2" fontId="4" fillId="3" borderId="11" xfId="0" applyNumberFormat="1" applyFont="1" applyFill="1" applyBorder="1" applyAlignment="1" applyProtection="1">
      <alignment horizontal="center"/>
      <protection hidden="1"/>
    </xf>
    <xf numFmtId="0" fontId="61" fillId="3" borderId="0" xfId="0" applyFont="1" applyFill="1" applyBorder="1"/>
    <xf numFmtId="0" fontId="4" fillId="3" borderId="53" xfId="0" applyFont="1" applyFill="1" applyBorder="1"/>
    <xf numFmtId="0" fontId="75" fillId="0" borderId="12" xfId="0" applyFont="1" applyBorder="1"/>
    <xf numFmtId="0" fontId="84" fillId="0" borderId="0" xfId="0" quotePrefix="1" applyFont="1"/>
    <xf numFmtId="0" fontId="0" fillId="0" borderId="0" xfId="0" quotePrefix="1"/>
    <xf numFmtId="170" fontId="0" fillId="0" borderId="0" xfId="0" applyNumberFormat="1"/>
    <xf numFmtId="0" fontId="0" fillId="0" borderId="0" xfId="0" applyAlignment="1">
      <alignment horizontal="center"/>
    </xf>
    <xf numFmtId="10" fontId="0" fillId="0" borderId="0" xfId="0" applyNumberFormat="1" applyAlignment="1">
      <alignment horizontal="center"/>
    </xf>
    <xf numFmtId="170" fontId="61" fillId="0" borderId="0" xfId="0" applyNumberFormat="1" applyFont="1"/>
    <xf numFmtId="171" fontId="0" fillId="0" borderId="0" xfId="0" applyNumberFormat="1"/>
    <xf numFmtId="0" fontId="76" fillId="0" borderId="0" xfId="0" applyFont="1" applyAlignment="1">
      <alignment horizontal="center"/>
    </xf>
    <xf numFmtId="0" fontId="76" fillId="0" borderId="0" xfId="0" applyFont="1"/>
    <xf numFmtId="167" fontId="0" fillId="0" borderId="0" xfId="0" applyNumberFormat="1"/>
    <xf numFmtId="2" fontId="61" fillId="0" borderId="54" xfId="0" applyNumberFormat="1" applyFont="1" applyBorder="1" applyProtection="1">
      <protection locked="0"/>
    </xf>
    <xf numFmtId="2" fontId="61" fillId="4" borderId="12" xfId="0" applyNumberFormat="1" applyFont="1" applyFill="1" applyBorder="1" applyAlignment="1">
      <alignment horizontal="left"/>
    </xf>
    <xf numFmtId="0" fontId="61" fillId="4" borderId="0" xfId="0" applyFont="1" applyFill="1" applyBorder="1" applyProtection="1">
      <protection hidden="1"/>
    </xf>
    <xf numFmtId="2" fontId="4" fillId="4" borderId="0" xfId="0" applyNumberFormat="1" applyFont="1" applyFill="1" applyBorder="1" applyProtection="1">
      <protection hidden="1"/>
    </xf>
    <xf numFmtId="0" fontId="61" fillId="4" borderId="17" xfId="0" applyFont="1" applyFill="1" applyBorder="1" applyProtection="1">
      <protection locked="0" hidden="1"/>
    </xf>
    <xf numFmtId="0" fontId="82" fillId="4" borderId="0" xfId="0" applyFont="1" applyFill="1" applyAlignment="1"/>
    <xf numFmtId="0" fontId="22" fillId="4" borderId="48" xfId="0" applyFont="1" applyFill="1" applyBorder="1"/>
    <xf numFmtId="0" fontId="64" fillId="0" borderId="48" xfId="0" applyFont="1" applyBorder="1"/>
    <xf numFmtId="0" fontId="4" fillId="0" borderId="0" xfId="0" applyFont="1" applyBorder="1"/>
    <xf numFmtId="0" fontId="61" fillId="3" borderId="47" xfId="0" applyFont="1" applyFill="1" applyBorder="1"/>
    <xf numFmtId="0" fontId="61" fillId="3" borderId="13" xfId="0" quotePrefix="1" applyFont="1" applyFill="1" applyBorder="1" applyProtection="1"/>
    <xf numFmtId="0" fontId="4" fillId="3" borderId="48" xfId="0" applyFont="1" applyFill="1" applyBorder="1"/>
    <xf numFmtId="0" fontId="61" fillId="3" borderId="48" xfId="0" applyFont="1" applyFill="1" applyBorder="1"/>
    <xf numFmtId="0" fontId="61" fillId="3" borderId="49" xfId="0" applyFont="1" applyFill="1" applyBorder="1"/>
    <xf numFmtId="2" fontId="61" fillId="3" borderId="10" xfId="0" quotePrefix="1" applyNumberFormat="1" applyFont="1" applyFill="1" applyBorder="1"/>
    <xf numFmtId="2" fontId="61" fillId="3" borderId="43" xfId="0" applyNumberFormat="1" applyFont="1" applyFill="1" applyBorder="1"/>
    <xf numFmtId="0" fontId="83" fillId="7" borderId="57" xfId="0" applyFont="1" applyFill="1" applyBorder="1"/>
    <xf numFmtId="0" fontId="61" fillId="4" borderId="57" xfId="0" applyFont="1" applyFill="1" applyBorder="1" applyProtection="1">
      <protection locked="0" hidden="1"/>
    </xf>
    <xf numFmtId="2" fontId="61" fillId="4" borderId="57" xfId="0" applyNumberFormat="1" applyFont="1" applyFill="1" applyBorder="1" applyProtection="1">
      <protection locked="0" hidden="1"/>
    </xf>
    <xf numFmtId="2" fontId="83" fillId="7" borderId="57" xfId="0" applyNumberFormat="1" applyFont="1" applyFill="1" applyBorder="1"/>
    <xf numFmtId="0" fontId="83" fillId="0" borderId="12" xfId="0" applyFont="1" applyFill="1" applyBorder="1"/>
    <xf numFmtId="0" fontId="83" fillId="4" borderId="57" xfId="0" applyFont="1" applyFill="1" applyBorder="1" applyProtection="1">
      <protection locked="0" hidden="1"/>
    </xf>
    <xf numFmtId="0" fontId="61" fillId="7" borderId="57" xfId="0" applyFont="1" applyFill="1" applyBorder="1"/>
    <xf numFmtId="0" fontId="61" fillId="4" borderId="57" xfId="0" applyFont="1" applyFill="1" applyBorder="1"/>
    <xf numFmtId="0" fontId="64" fillId="7" borderId="57" xfId="0" applyFont="1" applyFill="1" applyBorder="1"/>
    <xf numFmtId="0" fontId="39" fillId="7" borderId="57" xfId="0" applyFont="1" applyFill="1" applyBorder="1"/>
    <xf numFmtId="0" fontId="4" fillId="0" borderId="0" xfId="0" applyFont="1" applyFill="1" applyBorder="1" applyProtection="1">
      <protection locked="0"/>
    </xf>
    <xf numFmtId="0" fontId="4" fillId="3" borderId="13" xfId="0" applyFont="1" applyFill="1" applyBorder="1"/>
    <xf numFmtId="10" fontId="61" fillId="3" borderId="43" xfId="0" applyNumberFormat="1" applyFont="1" applyFill="1" applyBorder="1"/>
    <xf numFmtId="0" fontId="76" fillId="3" borderId="11" xfId="0" quotePrefix="1" applyFont="1" applyFill="1" applyBorder="1"/>
    <xf numFmtId="0" fontId="61" fillId="3" borderId="43" xfId="0" applyFont="1" applyFill="1" applyBorder="1"/>
    <xf numFmtId="0" fontId="4" fillId="3" borderId="47" xfId="0" applyFont="1" applyFill="1" applyBorder="1"/>
    <xf numFmtId="0" fontId="4" fillId="3" borderId="10" xfId="0" applyFont="1" applyFill="1" applyBorder="1"/>
    <xf numFmtId="0" fontId="4" fillId="3" borderId="0" xfId="0" applyFont="1" applyFill="1" applyBorder="1"/>
    <xf numFmtId="0" fontId="0" fillId="3" borderId="53" xfId="0" applyFill="1" applyBorder="1"/>
    <xf numFmtId="0" fontId="61" fillId="3" borderId="56" xfId="0" applyFont="1" applyFill="1" applyBorder="1"/>
    <xf numFmtId="0" fontId="76" fillId="3" borderId="56" xfId="0" applyFont="1" applyFill="1" applyBorder="1"/>
    <xf numFmtId="0" fontId="0" fillId="3" borderId="56" xfId="0" applyFill="1" applyBorder="1"/>
    <xf numFmtId="0" fontId="61" fillId="3" borderId="53" xfId="0" applyFont="1" applyFill="1" applyBorder="1"/>
    <xf numFmtId="0" fontId="75" fillId="3" borderId="53" xfId="0" applyFont="1" applyFill="1" applyBorder="1"/>
    <xf numFmtId="0" fontId="76" fillId="3" borderId="56" xfId="0" quotePrefix="1" applyFont="1" applyFill="1" applyBorder="1" applyAlignment="1">
      <alignment wrapText="1"/>
    </xf>
    <xf numFmtId="0" fontId="77" fillId="3" borderId="56" xfId="0" applyFont="1" applyFill="1" applyBorder="1"/>
    <xf numFmtId="0" fontId="83" fillId="0" borderId="0" xfId="0" applyFont="1" applyFill="1" applyBorder="1"/>
    <xf numFmtId="2" fontId="83" fillId="0" borderId="0" xfId="0" applyNumberFormat="1" applyFont="1" applyFill="1" applyBorder="1"/>
    <xf numFmtId="0" fontId="61" fillId="0" borderId="0" xfId="0" applyFont="1" applyFill="1" applyBorder="1" applyProtection="1">
      <protection locked="0" hidden="1"/>
    </xf>
    <xf numFmtId="0" fontId="87" fillId="7" borderId="53" xfId="0" applyFont="1" applyFill="1" applyBorder="1"/>
    <xf numFmtId="0" fontId="87" fillId="7" borderId="54" xfId="0" applyFont="1" applyFill="1" applyBorder="1"/>
    <xf numFmtId="0" fontId="87" fillId="7" borderId="56" xfId="0" applyFont="1" applyFill="1" applyBorder="1"/>
    <xf numFmtId="0" fontId="4" fillId="3" borderId="0" xfId="0" applyFont="1" applyFill="1"/>
    <xf numFmtId="2" fontId="61" fillId="3" borderId="0" xfId="0" applyNumberFormat="1" applyFont="1" applyFill="1" applyBorder="1"/>
    <xf numFmtId="2" fontId="4" fillId="3" borderId="0" xfId="0" applyNumberFormat="1" applyFont="1" applyFill="1"/>
    <xf numFmtId="0" fontId="88" fillId="8" borderId="0" xfId="0" applyFont="1" applyFill="1"/>
    <xf numFmtId="2" fontId="88" fillId="8" borderId="0" xfId="0" applyNumberFormat="1" applyFont="1" applyFill="1"/>
    <xf numFmtId="0" fontId="4" fillId="3" borderId="0" xfId="0" applyFont="1" applyFill="1" applyAlignment="1">
      <alignment horizontal="center"/>
    </xf>
    <xf numFmtId="2" fontId="4" fillId="3" borderId="0" xfId="0" applyNumberFormat="1" applyFont="1" applyFill="1" applyAlignment="1">
      <alignment horizontal="center"/>
    </xf>
    <xf numFmtId="1" fontId="4" fillId="3" borderId="0" xfId="0" applyNumberFormat="1" applyFont="1" applyFill="1" applyAlignment="1">
      <alignment horizontal="center"/>
    </xf>
    <xf numFmtId="0" fontId="4" fillId="3" borderId="12" xfId="0" applyFont="1" applyFill="1" applyBorder="1"/>
    <xf numFmtId="0" fontId="62" fillId="3" borderId="0" xfId="0" applyFont="1" applyFill="1" applyBorder="1"/>
    <xf numFmtId="0" fontId="62" fillId="0" borderId="48" xfId="0" applyFont="1" applyBorder="1"/>
    <xf numFmtId="0" fontId="62" fillId="0" borderId="11" xfId="0" applyFont="1" applyBorder="1"/>
    <xf numFmtId="1" fontId="89" fillId="7" borderId="48" xfId="0" quotePrefix="1" applyNumberFormat="1" applyFont="1" applyFill="1" applyBorder="1" applyAlignment="1" applyProtection="1">
      <alignment horizontal="left"/>
      <protection hidden="1"/>
    </xf>
    <xf numFmtId="0" fontId="61" fillId="0" borderId="0" xfId="0" applyFont="1" applyAlignment="1">
      <alignment horizontal="center"/>
    </xf>
    <xf numFmtId="0" fontId="75" fillId="0" borderId="0" xfId="0" quotePrefix="1" applyFont="1"/>
    <xf numFmtId="165" fontId="90" fillId="4" borderId="0" xfId="1" quotePrefix="1" applyFont="1" applyFill="1" applyBorder="1" applyAlignment="1">
      <alignment horizontal="left"/>
    </xf>
    <xf numFmtId="0" fontId="61" fillId="0" borderId="56" xfId="0" applyFont="1" applyFill="1" applyBorder="1" applyAlignment="1" applyProtection="1">
      <alignment horizontal="center"/>
      <protection locked="0" hidden="1"/>
    </xf>
    <xf numFmtId="2" fontId="0" fillId="0" borderId="0" xfId="0" quotePrefix="1" applyNumberFormat="1" applyBorder="1"/>
    <xf numFmtId="0" fontId="22" fillId="0" borderId="57" xfId="0" applyFont="1" applyFill="1" applyBorder="1" applyProtection="1">
      <protection locked="0"/>
    </xf>
    <xf numFmtId="2" fontId="0" fillId="0" borderId="0" xfId="0" applyNumberFormat="1" applyBorder="1" applyProtection="1">
      <protection hidden="1"/>
    </xf>
    <xf numFmtId="0" fontId="0" fillId="0" borderId="0" xfId="0" applyProtection="1">
      <protection hidden="1"/>
    </xf>
    <xf numFmtId="0" fontId="4" fillId="3" borderId="47" xfId="0" applyFont="1" applyFill="1" applyBorder="1" applyProtection="1">
      <protection hidden="1"/>
    </xf>
    <xf numFmtId="0" fontId="4" fillId="3" borderId="13" xfId="0" applyFont="1" applyFill="1" applyBorder="1" applyProtection="1">
      <protection hidden="1"/>
    </xf>
    <xf numFmtId="1" fontId="4" fillId="3" borderId="49" xfId="0" quotePrefix="1" applyNumberFormat="1" applyFont="1" applyFill="1" applyBorder="1" applyProtection="1">
      <protection hidden="1"/>
    </xf>
    <xf numFmtId="2" fontId="4" fillId="3" borderId="43" xfId="0" quotePrefix="1" applyNumberFormat="1" applyFont="1" applyFill="1" applyBorder="1" applyProtection="1">
      <protection hidden="1"/>
    </xf>
    <xf numFmtId="1" fontId="0" fillId="0" borderId="0" xfId="0" applyNumberFormat="1" applyProtection="1">
      <protection hidden="1"/>
    </xf>
    <xf numFmtId="0" fontId="66" fillId="3" borderId="60" xfId="0" applyFont="1" applyFill="1" applyBorder="1" applyProtection="1">
      <protection hidden="1"/>
    </xf>
    <xf numFmtId="2" fontId="67" fillId="3" borderId="40" xfId="0" applyNumberFormat="1" applyFont="1" applyFill="1" applyBorder="1" applyProtection="1">
      <protection hidden="1"/>
    </xf>
    <xf numFmtId="2" fontId="67" fillId="3" borderId="40" xfId="0" applyNumberFormat="1" applyFont="1" applyFill="1" applyBorder="1" applyAlignment="1" applyProtection="1">
      <alignment horizontal="center"/>
      <protection hidden="1"/>
    </xf>
    <xf numFmtId="0" fontId="66" fillId="3" borderId="40" xfId="0" applyFont="1" applyFill="1" applyBorder="1" applyAlignment="1" applyProtection="1">
      <alignment horizontal="center"/>
      <protection hidden="1"/>
    </xf>
    <xf numFmtId="0" fontId="67" fillId="3" borderId="40" xfId="0" applyFont="1" applyFill="1" applyBorder="1" applyAlignment="1" applyProtection="1">
      <alignment horizontal="left"/>
      <protection hidden="1"/>
    </xf>
    <xf numFmtId="0" fontId="68" fillId="3" borderId="61" xfId="0" applyFont="1" applyFill="1" applyBorder="1" applyProtection="1">
      <protection hidden="1"/>
    </xf>
    <xf numFmtId="0" fontId="66" fillId="9" borderId="62" xfId="0" applyFont="1" applyFill="1" applyBorder="1" applyProtection="1">
      <protection hidden="1"/>
    </xf>
    <xf numFmtId="1" fontId="67" fillId="9" borderId="12" xfId="0" applyNumberFormat="1" applyFont="1" applyFill="1" applyBorder="1" applyProtection="1">
      <protection hidden="1"/>
    </xf>
    <xf numFmtId="1" fontId="67" fillId="9" borderId="12" xfId="0" applyNumberFormat="1" applyFont="1" applyFill="1" applyBorder="1" applyAlignment="1" applyProtection="1">
      <alignment horizontal="center"/>
      <protection hidden="1"/>
    </xf>
    <xf numFmtId="0" fontId="66" fillId="9" borderId="12" xfId="0" applyFont="1" applyFill="1" applyBorder="1" applyAlignment="1" applyProtection="1">
      <alignment horizontal="center"/>
      <protection hidden="1"/>
    </xf>
    <xf numFmtId="0" fontId="66" fillId="9" borderId="63" xfId="0" applyFont="1" applyFill="1" applyBorder="1" applyProtection="1">
      <protection hidden="1"/>
    </xf>
    <xf numFmtId="0" fontId="66" fillId="9" borderId="64" xfId="0" applyFont="1" applyFill="1" applyBorder="1" applyAlignment="1" applyProtection="1">
      <alignment horizontal="left" wrapText="1"/>
      <protection hidden="1"/>
    </xf>
    <xf numFmtId="0" fontId="67" fillId="9" borderId="0" xfId="0" applyFont="1" applyFill="1" applyBorder="1" applyAlignment="1" applyProtection="1">
      <alignment horizontal="right" wrapText="1"/>
      <protection hidden="1"/>
    </xf>
    <xf numFmtId="0" fontId="68" fillId="9" borderId="0" xfId="0" applyFont="1" applyFill="1" applyBorder="1" applyProtection="1">
      <protection hidden="1"/>
    </xf>
    <xf numFmtId="0" fontId="69" fillId="9" borderId="0" xfId="0" applyFont="1" applyFill="1" applyBorder="1" applyAlignment="1" applyProtection="1">
      <alignment horizontal="center"/>
      <protection hidden="1"/>
    </xf>
    <xf numFmtId="0" fontId="70" fillId="9" borderId="0" xfId="0" applyFont="1" applyFill="1" applyBorder="1" applyAlignment="1" applyProtection="1">
      <alignment horizontal="center"/>
      <protection hidden="1"/>
    </xf>
    <xf numFmtId="0" fontId="71" fillId="9" borderId="65" xfId="0" applyFont="1" applyFill="1" applyBorder="1" applyAlignment="1" applyProtection="1">
      <alignment horizontal="center" wrapText="1"/>
      <protection hidden="1"/>
    </xf>
    <xf numFmtId="0" fontId="0" fillId="9" borderId="64" xfId="0" applyFill="1" applyBorder="1" applyProtection="1">
      <protection hidden="1"/>
    </xf>
    <xf numFmtId="0" fontId="72" fillId="9" borderId="0" xfId="0" applyFont="1" applyFill="1" applyBorder="1" applyProtection="1">
      <protection hidden="1"/>
    </xf>
    <xf numFmtId="0" fontId="67" fillId="9" borderId="64" xfId="0" applyFont="1" applyFill="1" applyBorder="1" applyAlignment="1" applyProtection="1">
      <alignment wrapText="1"/>
      <protection hidden="1"/>
    </xf>
    <xf numFmtId="0" fontId="73" fillId="9" borderId="16" xfId="0" applyFont="1" applyFill="1" applyBorder="1" applyAlignment="1" applyProtection="1">
      <alignment horizontal="center"/>
      <protection hidden="1"/>
    </xf>
    <xf numFmtId="0" fontId="69" fillId="9" borderId="16" xfId="0" applyFont="1" applyFill="1" applyBorder="1" applyAlignment="1" applyProtection="1">
      <alignment horizontal="center" wrapText="1"/>
      <protection hidden="1"/>
    </xf>
    <xf numFmtId="0" fontId="69" fillId="9" borderId="16" xfId="0" applyFont="1" applyFill="1" applyBorder="1" applyAlignment="1" applyProtection="1">
      <alignment wrapText="1"/>
      <protection hidden="1"/>
    </xf>
    <xf numFmtId="0" fontId="74" fillId="3" borderId="66" xfId="0" applyFont="1" applyFill="1" applyBorder="1" applyProtection="1">
      <protection hidden="1"/>
    </xf>
    <xf numFmtId="0" fontId="74" fillId="3" borderId="0" xfId="0" applyFont="1" applyFill="1" applyBorder="1" applyProtection="1">
      <protection hidden="1"/>
    </xf>
    <xf numFmtId="0" fontId="74" fillId="3" borderId="0" xfId="0" applyFont="1" applyFill="1" applyBorder="1" applyAlignment="1" applyProtection="1">
      <alignment horizontal="center"/>
      <protection hidden="1"/>
    </xf>
    <xf numFmtId="0" fontId="74" fillId="3" borderId="67" xfId="0" applyFont="1" applyFill="1" applyBorder="1" applyAlignment="1" applyProtection="1">
      <alignment horizontal="center"/>
      <protection hidden="1"/>
    </xf>
    <xf numFmtId="1" fontId="74" fillId="3" borderId="64" xfId="0" applyNumberFormat="1" applyFont="1" applyFill="1" applyBorder="1" applyAlignment="1" applyProtection="1">
      <alignment horizontal="center"/>
      <protection hidden="1"/>
    </xf>
    <xf numFmtId="1" fontId="74" fillId="3" borderId="0" xfId="0" applyNumberFormat="1" applyFont="1" applyFill="1" applyBorder="1" applyAlignment="1" applyProtection="1">
      <alignment horizontal="center"/>
      <protection hidden="1"/>
    </xf>
    <xf numFmtId="2" fontId="74" fillId="3" borderId="0" xfId="0" applyNumberFormat="1" applyFont="1" applyFill="1" applyBorder="1" applyAlignment="1" applyProtection="1">
      <alignment horizontal="center"/>
      <protection hidden="1"/>
    </xf>
    <xf numFmtId="1" fontId="74" fillId="3" borderId="65" xfId="0" applyNumberFormat="1" applyFont="1" applyFill="1" applyBorder="1" applyAlignment="1" applyProtection="1">
      <alignment horizontal="center"/>
      <protection hidden="1"/>
    </xf>
    <xf numFmtId="1" fontId="74" fillId="3" borderId="68" xfId="0" applyNumberFormat="1" applyFont="1" applyFill="1" applyBorder="1" applyAlignment="1" applyProtection="1">
      <alignment horizontal="center"/>
      <protection hidden="1"/>
    </xf>
    <xf numFmtId="1" fontId="74" fillId="3" borderId="19" xfId="0" applyNumberFormat="1" applyFont="1" applyFill="1" applyBorder="1" applyAlignment="1" applyProtection="1">
      <alignment horizontal="center"/>
      <protection hidden="1"/>
    </xf>
    <xf numFmtId="2" fontId="74" fillId="3" borderId="19" xfId="0" applyNumberFormat="1" applyFont="1" applyFill="1" applyBorder="1" applyAlignment="1" applyProtection="1">
      <alignment horizontal="center"/>
      <protection hidden="1"/>
    </xf>
    <xf numFmtId="1" fontId="74" fillId="3" borderId="69" xfId="0" applyNumberFormat="1" applyFont="1" applyFill="1" applyBorder="1" applyAlignment="1" applyProtection="1">
      <alignment horizontal="center"/>
      <protection hidden="1"/>
    </xf>
    <xf numFmtId="0" fontId="69" fillId="9" borderId="0" xfId="0" applyFont="1" applyFill="1" applyBorder="1" applyAlignment="1" applyProtection="1">
      <alignment wrapText="1"/>
      <protection hidden="1"/>
    </xf>
    <xf numFmtId="0" fontId="68" fillId="9" borderId="70" xfId="0" applyFont="1" applyFill="1" applyBorder="1" applyAlignment="1" applyProtection="1">
      <alignment horizontal="center" wrapText="1"/>
      <protection hidden="1"/>
    </xf>
    <xf numFmtId="2" fontId="67" fillId="9" borderId="12" xfId="0" applyNumberFormat="1" applyFont="1" applyFill="1" applyBorder="1" applyAlignment="1" applyProtection="1">
      <alignment horizontal="left"/>
      <protection hidden="1"/>
    </xf>
    <xf numFmtId="0" fontId="0" fillId="3" borderId="0" xfId="0" applyFill="1" applyAlignment="1">
      <alignment horizontal="center"/>
    </xf>
    <xf numFmtId="0" fontId="4" fillId="0" borderId="0" xfId="0" applyFont="1"/>
    <xf numFmtId="0" fontId="4" fillId="0" borderId="0" xfId="0" applyFont="1" applyAlignment="1">
      <alignment horizontal="center"/>
    </xf>
    <xf numFmtId="1" fontId="4" fillId="0" borderId="0" xfId="0" applyNumberFormat="1" applyFont="1" applyAlignment="1">
      <alignment horizontal="center"/>
    </xf>
    <xf numFmtId="1" fontId="61" fillId="4" borderId="57" xfId="0" applyNumberFormat="1" applyFont="1" applyFill="1" applyBorder="1" applyProtection="1">
      <protection locked="0"/>
    </xf>
    <xf numFmtId="16" fontId="4" fillId="3" borderId="0" xfId="0" applyNumberFormat="1" applyFont="1" applyFill="1" applyAlignment="1">
      <alignment horizontal="center"/>
    </xf>
    <xf numFmtId="0" fontId="22" fillId="4" borderId="10" xfId="0" applyFont="1" applyFill="1" applyBorder="1" applyAlignment="1">
      <alignment wrapText="1"/>
    </xf>
    <xf numFmtId="0" fontId="22" fillId="4" borderId="17" xfId="0" applyFont="1" applyFill="1" applyBorder="1" applyAlignment="1">
      <alignment wrapText="1"/>
    </xf>
    <xf numFmtId="0" fontId="82" fillId="4" borderId="0" xfId="0" applyFont="1" applyFill="1" applyAlignment="1">
      <alignment wrapText="1"/>
    </xf>
    <xf numFmtId="0" fontId="22" fillId="4" borderId="0" xfId="0" applyFont="1" applyFill="1" applyBorder="1" applyAlignment="1">
      <alignment wrapText="1"/>
    </xf>
    <xf numFmtId="0" fontId="0" fillId="0" borderId="16" xfId="0" applyBorder="1" applyAlignment="1">
      <alignment wrapText="1"/>
    </xf>
    <xf numFmtId="0" fontId="22" fillId="4" borderId="0" xfId="0" applyFont="1" applyFill="1" applyAlignment="1">
      <alignment wrapText="1"/>
    </xf>
    <xf numFmtId="0" fontId="0" fillId="0" borderId="0" xfId="0" applyAlignment="1">
      <alignment wrapText="1"/>
    </xf>
    <xf numFmtId="9" fontId="22" fillId="4" borderId="48" xfId="0" applyNumberFormat="1" applyFont="1" applyFill="1" applyBorder="1" applyAlignment="1"/>
    <xf numFmtId="0" fontId="0" fillId="0" borderId="0" xfId="0" applyBorder="1" applyAlignment="1"/>
    <xf numFmtId="0" fontId="22" fillId="4" borderId="48" xfId="0" applyFont="1" applyFill="1" applyBorder="1" applyAlignment="1">
      <alignment wrapText="1"/>
    </xf>
    <xf numFmtId="0" fontId="22" fillId="4" borderId="49" xfId="0" applyFont="1" applyFill="1" applyBorder="1" applyAlignment="1">
      <alignment wrapText="1"/>
    </xf>
    <xf numFmtId="0" fontId="22" fillId="4" borderId="11" xfId="0" applyFont="1" applyFill="1" applyBorder="1" applyAlignment="1">
      <alignment wrapText="1"/>
    </xf>
    <xf numFmtId="0" fontId="64" fillId="4" borderId="0" xfId="0" applyFont="1" applyFill="1" applyBorder="1" applyAlignment="1">
      <alignment horizontal="center" wrapText="1"/>
    </xf>
    <xf numFmtId="0" fontId="60" fillId="0" borderId="16" xfId="0" applyFont="1" applyBorder="1" applyAlignment="1">
      <alignment wrapText="1"/>
    </xf>
    <xf numFmtId="0" fontId="22" fillId="4" borderId="0" xfId="0" applyFont="1" applyFill="1" applyBorder="1" applyAlignment="1">
      <alignment horizontal="center" wrapText="1"/>
    </xf>
    <xf numFmtId="0" fontId="22" fillId="4" borderId="48" xfId="0" quotePrefix="1" applyFont="1" applyFill="1" applyBorder="1" applyAlignment="1">
      <alignment horizontal="left"/>
    </xf>
    <xf numFmtId="0" fontId="22" fillId="4" borderId="48" xfId="0" applyFont="1" applyFill="1" applyBorder="1" applyAlignment="1">
      <alignment horizontal="left"/>
    </xf>
    <xf numFmtId="0" fontId="64" fillId="4" borderId="48" xfId="0" applyFont="1" applyFill="1" applyBorder="1" applyAlignment="1">
      <alignment wrapText="1"/>
    </xf>
    <xf numFmtId="0" fontId="64" fillId="0" borderId="50" xfId="0" applyFont="1" applyBorder="1" applyAlignment="1">
      <alignment wrapText="1"/>
    </xf>
    <xf numFmtId="0" fontId="64" fillId="4" borderId="0" xfId="0" applyFont="1" applyFill="1" applyBorder="1" applyAlignment="1">
      <alignment wrapText="1"/>
    </xf>
    <xf numFmtId="0" fontId="0" fillId="4" borderId="16" xfId="0" applyFill="1" applyBorder="1" applyAlignment="1">
      <alignment wrapText="1"/>
    </xf>
    <xf numFmtId="0" fontId="0" fillId="7" borderId="0" xfId="0" applyFill="1" applyBorder="1" applyAlignment="1">
      <alignment wrapText="1"/>
    </xf>
    <xf numFmtId="49" fontId="14" fillId="3" borderId="0" xfId="1" applyNumberFormat="1" applyFont="1" applyFill="1" applyAlignment="1">
      <alignment horizontal="left"/>
    </xf>
    <xf numFmtId="0" fontId="0" fillId="0" borderId="0" xfId="0" applyAlignment="1"/>
    <xf numFmtId="0" fontId="0" fillId="0" borderId="71" xfId="0" applyBorder="1" applyAlignment="1"/>
    <xf numFmtId="0" fontId="0" fillId="0" borderId="32" xfId="0" applyBorder="1" applyAlignment="1"/>
    <xf numFmtId="0" fontId="20" fillId="0" borderId="48" xfId="0" applyFont="1" applyBorder="1" applyAlignment="1"/>
    <xf numFmtId="0" fontId="20" fillId="0" borderId="0" xfId="0" applyFont="1" applyBorder="1" applyAlignment="1"/>
    <xf numFmtId="2" fontId="14" fillId="3" borderId="0" xfId="1" applyNumberFormat="1" applyFont="1" applyFill="1" applyAlignment="1">
      <alignment horizontal="left"/>
    </xf>
    <xf numFmtId="49" fontId="14" fillId="3" borderId="0" xfId="1" quotePrefix="1" applyNumberFormat="1" applyFont="1" applyFill="1" applyAlignment="1">
      <alignment horizontal="left"/>
    </xf>
    <xf numFmtId="0" fontId="44" fillId="3" borderId="0" xfId="0" applyFont="1" applyFill="1" applyBorder="1" applyAlignment="1"/>
    <xf numFmtId="0" fontId="24" fillId="4" borderId="10" xfId="0" applyFont="1" applyFill="1" applyBorder="1" applyAlignment="1">
      <alignment horizontal="center" wrapText="1"/>
    </xf>
    <xf numFmtId="0" fontId="0" fillId="0" borderId="17" xfId="0" applyBorder="1" applyAlignment="1">
      <alignment horizontal="center" wrapText="1"/>
    </xf>
    <xf numFmtId="0" fontId="20" fillId="0" borderId="50" xfId="0" applyFont="1" applyBorder="1" applyAlignment="1"/>
    <xf numFmtId="0" fontId="20" fillId="0" borderId="16" xfId="0" applyFont="1" applyBorder="1" applyAlignment="1"/>
    <xf numFmtId="0" fontId="0" fillId="0" borderId="16" xfId="0" applyBorder="1" applyAlignment="1"/>
    <xf numFmtId="0" fontId="19" fillId="0" borderId="48" xfId="0" applyFont="1" applyBorder="1" applyAlignment="1"/>
    <xf numFmtId="0" fontId="19" fillId="0" borderId="0" xfId="0" applyFont="1" applyBorder="1" applyAlignment="1"/>
    <xf numFmtId="165" fontId="42" fillId="4" borderId="6" xfId="1" applyFont="1" applyFill="1" applyBorder="1" applyAlignment="1"/>
    <xf numFmtId="0" fontId="42" fillId="4" borderId="0" xfId="0" applyFont="1" applyFill="1" applyBorder="1" applyAlignment="1"/>
    <xf numFmtId="0" fontId="60" fillId="3" borderId="25" xfId="0" applyFont="1" applyFill="1" applyBorder="1" applyAlignment="1"/>
    <xf numFmtId="0" fontId="60" fillId="3" borderId="26" xfId="0" applyFont="1" applyFill="1" applyBorder="1" applyAlignment="1"/>
    <xf numFmtId="1" fontId="60" fillId="3" borderId="25" xfId="0" applyNumberFormat="1" applyFont="1" applyFill="1" applyBorder="1" applyAlignment="1"/>
    <xf numFmtId="0" fontId="60" fillId="0" borderId="26" xfId="0" applyFont="1" applyBorder="1" applyAlignment="1"/>
    <xf numFmtId="0" fontId="0" fillId="0" borderId="6" xfId="0" applyBorder="1" applyAlignment="1"/>
    <xf numFmtId="0" fontId="0" fillId="0" borderId="44" xfId="0" applyBorder="1" applyAlignment="1">
      <alignment wrapText="1"/>
    </xf>
    <xf numFmtId="0" fontId="0" fillId="0" borderId="1" xfId="0" applyBorder="1" applyAlignment="1">
      <alignment wrapText="1"/>
    </xf>
    <xf numFmtId="0" fontId="0" fillId="0" borderId="51" xfId="0" applyBorder="1" applyAlignment="1"/>
    <xf numFmtId="0" fontId="0" fillId="0" borderId="14" xfId="0" applyBorder="1" applyAlignment="1"/>
    <xf numFmtId="0" fontId="19" fillId="0" borderId="50" xfId="0" applyFont="1" applyBorder="1" applyAlignment="1"/>
    <xf numFmtId="0" fontId="19" fillId="0" borderId="16" xfId="0" applyFont="1" applyBorder="1" applyAlignment="1"/>
    <xf numFmtId="0" fontId="37" fillId="0" borderId="48" xfId="0" applyFont="1" applyBorder="1" applyAlignment="1"/>
    <xf numFmtId="0" fontId="37" fillId="0" borderId="0" xfId="0" applyFont="1" applyBorder="1" applyAlignment="1"/>
    <xf numFmtId="0" fontId="49" fillId="3" borderId="16" xfId="0" quotePrefix="1" applyFont="1" applyFill="1" applyBorder="1" applyAlignment="1">
      <alignment horizontal="left"/>
    </xf>
    <xf numFmtId="0" fontId="2" fillId="0" borderId="49" xfId="0" applyFont="1" applyBorder="1" applyAlignment="1"/>
    <xf numFmtId="0" fontId="2" fillId="0" borderId="11" xfId="0" applyFont="1" applyBorder="1" applyAlignment="1"/>
    <xf numFmtId="0" fontId="0" fillId="0" borderId="11" xfId="0" applyBorder="1" applyAlignment="1"/>
    <xf numFmtId="0" fontId="0" fillId="0" borderId="48" xfId="0" applyBorder="1" applyAlignment="1"/>
    <xf numFmtId="0" fontId="16" fillId="0" borderId="51" xfId="0" applyFont="1" applyBorder="1" applyAlignment="1"/>
    <xf numFmtId="0" fontId="16" fillId="0" borderId="14" xfId="0" applyFont="1" applyBorder="1" applyAlignment="1"/>
    <xf numFmtId="0" fontId="37" fillId="0" borderId="50" xfId="0" applyFont="1" applyBorder="1" applyAlignment="1"/>
    <xf numFmtId="0" fontId="37" fillId="0" borderId="16" xfId="0" applyFont="1" applyBorder="1" applyAlignment="1"/>
    <xf numFmtId="0" fontId="2" fillId="0" borderId="48" xfId="0" applyFont="1" applyBorder="1" applyAlignment="1"/>
    <xf numFmtId="0" fontId="2" fillId="0" borderId="0" xfId="0" applyFont="1" applyBorder="1" applyAlignment="1"/>
    <xf numFmtId="0" fontId="48" fillId="10" borderId="31" xfId="0" applyFont="1" applyFill="1" applyBorder="1" applyAlignment="1">
      <alignment horizontal="left" wrapText="1"/>
    </xf>
    <xf numFmtId="0" fontId="0" fillId="0" borderId="33" xfId="0" applyBorder="1" applyAlignment="1"/>
    <xf numFmtId="0" fontId="53" fillId="2" borderId="32" xfId="0" applyFont="1" applyFill="1" applyBorder="1" applyAlignment="1">
      <alignment horizontal="center"/>
    </xf>
    <xf numFmtId="0" fontId="30" fillId="2" borderId="32" xfId="0" applyFont="1" applyFill="1" applyBorder="1" applyAlignment="1">
      <alignment horizontal="center"/>
    </xf>
    <xf numFmtId="9" fontId="22" fillId="4" borderId="0" xfId="0" applyNumberFormat="1" applyFont="1" applyFill="1" applyBorder="1" applyAlignment="1"/>
    <xf numFmtId="0" fontId="0" fillId="0" borderId="37" xfId="0" applyBorder="1" applyAlignment="1"/>
    <xf numFmtId="165" fontId="1" fillId="3" borderId="0" xfId="1" applyFill="1" applyAlignment="1"/>
    <xf numFmtId="0" fontId="22" fillId="0" borderId="16" xfId="0" applyFont="1" applyBorder="1" applyAlignment="1">
      <alignment wrapText="1"/>
    </xf>
    <xf numFmtId="0" fontId="63" fillId="4" borderId="48" xfId="0" applyFont="1" applyFill="1" applyBorder="1" applyAlignment="1">
      <alignment wrapText="1"/>
    </xf>
    <xf numFmtId="0" fontId="63" fillId="0" borderId="50" xfId="0" applyFont="1" applyBorder="1" applyAlignment="1">
      <alignment wrapText="1"/>
    </xf>
    <xf numFmtId="165" fontId="1" fillId="3" borderId="0" xfId="1" quotePrefix="1" applyFont="1" applyFill="1" applyAlignment="1">
      <alignment horizontal="left" wrapText="1"/>
    </xf>
    <xf numFmtId="9" fontId="27" fillId="2" borderId="0" xfId="0" applyNumberFormat="1" applyFont="1" applyFill="1" applyBorder="1" applyAlignment="1">
      <alignment horizontal="center"/>
    </xf>
    <xf numFmtId="0" fontId="20" fillId="0" borderId="47" xfId="0" applyFont="1" applyBorder="1" applyAlignment="1"/>
    <xf numFmtId="0" fontId="20" fillId="0" borderId="12" xfId="0" applyFont="1" applyBorder="1" applyAlignment="1"/>
    <xf numFmtId="0" fontId="0" fillId="0" borderId="12" xfId="0" applyBorder="1" applyAlignment="1"/>
    <xf numFmtId="0" fontId="22" fillId="4" borderId="0" xfId="0" quotePrefix="1" applyFont="1" applyFill="1" applyBorder="1" applyAlignment="1">
      <alignment horizontal="left"/>
    </xf>
    <xf numFmtId="0" fontId="60" fillId="3" borderId="25" xfId="0" quotePrefix="1" applyFont="1" applyFill="1" applyBorder="1" applyAlignment="1">
      <alignment horizontal="left" wrapText="1" shrinkToFit="1"/>
    </xf>
    <xf numFmtId="0" fontId="60" fillId="3" borderId="26" xfId="0" applyFont="1" applyFill="1" applyBorder="1" applyAlignment="1">
      <alignment wrapText="1" shrinkToFit="1"/>
    </xf>
    <xf numFmtId="0" fontId="4" fillId="3" borderId="12" xfId="0" applyFont="1" applyFill="1" applyBorder="1" applyAlignment="1">
      <alignment wrapText="1"/>
    </xf>
    <xf numFmtId="0" fontId="4" fillId="3" borderId="0" xfId="0" applyFont="1" applyFill="1" applyBorder="1" applyAlignment="1">
      <alignment wrapText="1"/>
    </xf>
    <xf numFmtId="0" fontId="4" fillId="3" borderId="0" xfId="0" applyFont="1" applyFill="1" applyAlignment="1">
      <alignment horizontal="center" wrapText="1"/>
    </xf>
    <xf numFmtId="0" fontId="4" fillId="0" borderId="0" xfId="0" applyFont="1" applyBorder="1" applyAlignment="1">
      <alignment wrapText="1"/>
    </xf>
    <xf numFmtId="0" fontId="88" fillId="8" borderId="0" xfId="0" applyFont="1" applyFill="1" applyBorder="1" applyAlignment="1">
      <alignment wrapText="1"/>
    </xf>
    <xf numFmtId="0" fontId="42" fillId="8" borderId="0" xfId="0" applyFont="1" applyFill="1" applyBorder="1" applyAlignment="1">
      <alignment wrapText="1"/>
    </xf>
    <xf numFmtId="0" fontId="42" fillId="8" borderId="0" xfId="0" applyFont="1" applyFill="1" applyAlignment="1">
      <alignment wrapText="1"/>
    </xf>
  </cellXfs>
  <cellStyles count="2">
    <cellStyle name="Normal" xfId="0" builtinId="0"/>
    <cellStyle name="Normal_Rotor_HP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904875</xdr:colOff>
      <xdr:row>72</xdr:row>
      <xdr:rowOff>47625</xdr:rowOff>
    </xdr:from>
    <xdr:to>
      <xdr:col>23</xdr:col>
      <xdr:colOff>466725</xdr:colOff>
      <xdr:row>78</xdr:row>
      <xdr:rowOff>85725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20107275" y="19202400"/>
          <a:ext cx="2447925" cy="1162050"/>
        </a:xfrm>
        <a:prstGeom prst="leftArrow">
          <a:avLst>
            <a:gd name="adj1" fmla="val 50000"/>
            <a:gd name="adj2" fmla="val 526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Number of Rotors May be any interger value (1,2,3..).    </a:t>
          </a:r>
          <a:endParaRPr lang="en-US"/>
        </a:p>
      </xdr:txBody>
    </xdr:sp>
    <xdr:clientData/>
  </xdr:twoCellAnchor>
  <xdr:twoCellAnchor>
    <xdr:from>
      <xdr:col>10</xdr:col>
      <xdr:colOff>76200</xdr:colOff>
      <xdr:row>6</xdr:row>
      <xdr:rowOff>171450</xdr:rowOff>
    </xdr:from>
    <xdr:to>
      <xdr:col>12</xdr:col>
      <xdr:colOff>57150</xdr:colOff>
      <xdr:row>11</xdr:row>
      <xdr:rowOff>228600</xdr:rowOff>
    </xdr:to>
    <xdr:sp macro="" textlink="">
      <xdr:nvSpPr>
        <xdr:cNvPr id="1029" name="AutoShape 5">
          <a:extLst>
            <a:ext uri="{FF2B5EF4-FFF2-40B4-BE49-F238E27FC236}">
              <a16:creationId xmlns:a16="http://schemas.microsoft.com/office/drawing/2014/main" id="{00000000-0008-0000-0100-000005040000}"/>
            </a:ext>
          </a:extLst>
        </xdr:cNvPr>
        <xdr:cNvSpPr>
          <a:spLocks noChangeArrowheads="1"/>
        </xdr:cNvSpPr>
      </xdr:nvSpPr>
      <xdr:spPr bwMode="auto">
        <a:xfrm>
          <a:off x="8715375" y="3257550"/>
          <a:ext cx="2038350" cy="1543050"/>
        </a:xfrm>
        <a:prstGeom prst="rightArrow">
          <a:avLst>
            <a:gd name="adj1" fmla="val 50000"/>
            <a:gd name="adj2" fmla="val 33025"/>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FFFFFF"/>
              </a:solidFill>
              <a:latin typeface="Arial Narrow"/>
            </a:rPr>
            <a:t>CALCULATION  RESULTS</a:t>
          </a:r>
          <a:endParaRPr lang="en-US"/>
        </a:p>
      </xdr:txBody>
    </xdr:sp>
    <xdr:clientData/>
  </xdr:twoCellAnchor>
  <xdr:twoCellAnchor>
    <xdr:from>
      <xdr:col>20</xdr:col>
      <xdr:colOff>57150</xdr:colOff>
      <xdr:row>27</xdr:row>
      <xdr:rowOff>171450</xdr:rowOff>
    </xdr:from>
    <xdr:to>
      <xdr:col>22</xdr:col>
      <xdr:colOff>285750</xdr:colOff>
      <xdr:row>30</xdr:row>
      <xdr:rowOff>247650</xdr:rowOff>
    </xdr:to>
    <xdr:sp macro="" textlink="">
      <xdr:nvSpPr>
        <xdr:cNvPr id="1033" name="AutoShape 9">
          <a:extLst>
            <a:ext uri="{FF2B5EF4-FFF2-40B4-BE49-F238E27FC236}">
              <a16:creationId xmlns:a16="http://schemas.microsoft.com/office/drawing/2014/main" id="{00000000-0008-0000-0100-000009040000}"/>
            </a:ext>
          </a:extLst>
        </xdr:cNvPr>
        <xdr:cNvSpPr>
          <a:spLocks noChangeArrowheads="1"/>
        </xdr:cNvSpPr>
      </xdr:nvSpPr>
      <xdr:spPr bwMode="auto">
        <a:xfrm>
          <a:off x="19259550" y="8667750"/>
          <a:ext cx="2124075" cy="1190625"/>
        </a:xfrm>
        <a:prstGeom prst="leftArrow">
          <a:avLst>
            <a:gd name="adj1" fmla="val 50000"/>
            <a:gd name="adj2" fmla="val 44600"/>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FFFFFF"/>
              </a:solidFill>
              <a:latin typeface="Arial Narrow"/>
            </a:rPr>
            <a:t>Change the RPM value if you want max power at a different RPM than 6000</a:t>
          </a:r>
          <a:endParaRPr lang="en-US"/>
        </a:p>
      </xdr:txBody>
    </xdr:sp>
    <xdr:clientData/>
  </xdr:twoCellAnchor>
  <xdr:twoCellAnchor>
    <xdr:from>
      <xdr:col>10</xdr:col>
      <xdr:colOff>438150</xdr:colOff>
      <xdr:row>26</xdr:row>
      <xdr:rowOff>76200</xdr:rowOff>
    </xdr:from>
    <xdr:to>
      <xdr:col>12</xdr:col>
      <xdr:colOff>952500</xdr:colOff>
      <xdr:row>30</xdr:row>
      <xdr:rowOff>133350</xdr:rowOff>
    </xdr:to>
    <xdr:sp macro="" textlink="">
      <xdr:nvSpPr>
        <xdr:cNvPr id="1034" name="AutoShape 10">
          <a:extLst>
            <a:ext uri="{FF2B5EF4-FFF2-40B4-BE49-F238E27FC236}">
              <a16:creationId xmlns:a16="http://schemas.microsoft.com/office/drawing/2014/main" id="{00000000-0008-0000-0100-00000A040000}"/>
            </a:ext>
          </a:extLst>
        </xdr:cNvPr>
        <xdr:cNvSpPr>
          <a:spLocks noChangeArrowheads="1"/>
        </xdr:cNvSpPr>
      </xdr:nvSpPr>
      <xdr:spPr bwMode="auto">
        <a:xfrm>
          <a:off x="9077325" y="8239125"/>
          <a:ext cx="2571750" cy="1504950"/>
        </a:xfrm>
        <a:prstGeom prst="rightArrow">
          <a:avLst>
            <a:gd name="adj1" fmla="val 50000"/>
            <a:gd name="adj2" fmla="val 42722"/>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FFFFFF"/>
              </a:solidFill>
              <a:latin typeface="Arial Narrow"/>
            </a:rPr>
            <a:t>Change Max Power Value from 160  if yours is different - used as the 100% Power basis</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d%20Anderson\Local%20Settings\Temporary%20Internet%20Files\Content.IE5\ZBLVNTKS\My%20Documents\Duct%20Airflow%20BT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ROTORHP"/>
    </sheetNames>
    <sheetDataSet>
      <sheetData sheetId="0" refreshError="1"/>
      <sheetData sheetId="1" refreshError="1"/>
      <sheetData sheetId="2" refreshError="1">
        <row r="2">
          <cell r="I2">
            <v>7.6399999999999996E-2</v>
          </cell>
        </row>
        <row r="3">
          <cell r="I3">
            <v>44.883000000000003</v>
          </cell>
        </row>
        <row r="5">
          <cell r="I5">
            <v>7.407407407407407E-2</v>
          </cell>
        </row>
        <row r="8">
          <cell r="C8">
            <v>80</v>
          </cell>
        </row>
        <row r="10">
          <cell r="C10">
            <v>0.96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77"/>
  <sheetViews>
    <sheetView topLeftCell="I16" zoomScale="75" workbookViewId="0">
      <selection activeCell="I8" sqref="I8"/>
    </sheetView>
  </sheetViews>
  <sheetFormatPr defaultRowHeight="12.75" x14ac:dyDescent="0.2"/>
  <cols>
    <col min="3" max="3" width="10.7109375" customWidth="1"/>
    <col min="4" max="4" width="12.42578125" customWidth="1"/>
    <col min="7" max="7" width="12.85546875" customWidth="1"/>
    <col min="8" max="8" width="13.28515625" customWidth="1"/>
    <col min="10" max="10" width="13.7109375" customWidth="1"/>
    <col min="11" max="11" width="15.28515625" customWidth="1"/>
    <col min="13" max="13" width="11.42578125" customWidth="1"/>
    <col min="14" max="14" width="10.42578125" customWidth="1"/>
    <col min="15" max="15" width="12.7109375" customWidth="1"/>
    <col min="16" max="16" width="13.7109375" customWidth="1"/>
    <col min="17" max="17" width="9.5703125" customWidth="1"/>
    <col min="18" max="18" width="18.7109375" customWidth="1"/>
    <col min="19" max="19" width="16.5703125" customWidth="1"/>
    <col min="20" max="20" width="22.5703125" customWidth="1"/>
    <col min="22" max="22" width="22.28515625" customWidth="1"/>
  </cols>
  <sheetData>
    <row r="1" spans="2:20" ht="13.5" thickTop="1" x14ac:dyDescent="0.2">
      <c r="B1" s="312"/>
      <c r="C1" s="317"/>
      <c r="D1" s="317"/>
      <c r="E1" s="317"/>
      <c r="F1" s="317"/>
      <c r="G1" s="317"/>
      <c r="H1" s="317"/>
      <c r="I1" s="317"/>
      <c r="J1" s="317"/>
      <c r="K1" s="317"/>
      <c r="L1" s="317"/>
      <c r="M1" s="317"/>
      <c r="N1" s="317"/>
      <c r="O1" s="317"/>
      <c r="P1" s="317"/>
      <c r="Q1" s="324"/>
      <c r="R1" s="317"/>
      <c r="S1" s="317"/>
      <c r="T1" s="317"/>
    </row>
    <row r="2" spans="2:20" ht="18.75" thickBot="1" x14ac:dyDescent="0.3">
      <c r="B2" s="313"/>
      <c r="C2" s="318" t="s">
        <v>218</v>
      </c>
      <c r="D2" s="315"/>
      <c r="E2" s="315"/>
      <c r="F2" s="315"/>
      <c r="G2" s="315"/>
      <c r="H2" s="315"/>
      <c r="I2" s="315"/>
      <c r="J2" s="315"/>
      <c r="K2" s="315"/>
      <c r="L2" s="315"/>
      <c r="M2" s="315"/>
      <c r="N2" s="315"/>
      <c r="O2" s="315"/>
      <c r="P2" s="315"/>
      <c r="Q2" s="324"/>
      <c r="R2" s="318" t="s">
        <v>222</v>
      </c>
      <c r="S2" s="315"/>
      <c r="T2" s="315"/>
    </row>
    <row r="3" spans="2:20" ht="18.75" thickTop="1" x14ac:dyDescent="0.25">
      <c r="B3" s="313"/>
      <c r="C3" s="296" t="s">
        <v>1</v>
      </c>
      <c r="D3" s="293"/>
      <c r="E3" s="307" t="s">
        <v>223</v>
      </c>
      <c r="F3" s="293"/>
      <c r="G3" s="293"/>
      <c r="H3" s="293"/>
      <c r="I3" s="294"/>
      <c r="J3" s="315"/>
      <c r="K3" s="297" t="str">
        <f>'Rotor HP'!N3</f>
        <v>AF =</v>
      </c>
      <c r="L3" s="384">
        <f>'Rotor HP'!O3</f>
        <v>13.5</v>
      </c>
      <c r="M3" s="299" t="str">
        <f>'Rotor HP'!Q3</f>
        <v>Temp F =</v>
      </c>
      <c r="N3" s="384">
        <f>'Rotor HP'!R3</f>
        <v>90</v>
      </c>
      <c r="O3" s="384"/>
      <c r="P3" s="298" t="str">
        <f>'Rotor HP'!P3</f>
        <v xml:space="preserve"> </v>
      </c>
      <c r="Q3" s="298"/>
      <c r="R3" s="298"/>
      <c r="S3" s="300"/>
    </row>
    <row r="4" spans="2:20" ht="12.75" customHeight="1" x14ac:dyDescent="0.2">
      <c r="B4" s="313"/>
      <c r="C4" s="305"/>
      <c r="D4" s="189"/>
      <c r="E4" s="189"/>
      <c r="F4" s="189"/>
      <c r="G4" s="189"/>
      <c r="H4" s="189"/>
      <c r="I4" s="303"/>
      <c r="J4" s="315"/>
      <c r="K4" s="304" t="s">
        <v>171</v>
      </c>
      <c r="L4" s="386">
        <f>'Rotor HP'!$O$5</f>
        <v>2.85</v>
      </c>
      <c r="M4" s="302" t="str">
        <f>'Rotor HP'!Q4</f>
        <v>Manifold</v>
      </c>
      <c r="N4" s="453">
        <f>'Rotor HP'!R4</f>
        <v>29</v>
      </c>
      <c r="O4" s="452" t="s">
        <v>291</v>
      </c>
      <c r="P4" s="189" t="str">
        <f>'Rotor HP'!P4</f>
        <v xml:space="preserve"> </v>
      </c>
      <c r="Q4" s="176"/>
      <c r="R4" s="176"/>
      <c r="S4" s="303"/>
    </row>
    <row r="5" spans="2:20" ht="13.5" customHeight="1" thickBot="1" x14ac:dyDescent="0.25">
      <c r="B5" s="313"/>
      <c r="C5" s="305"/>
      <c r="D5" s="189"/>
      <c r="E5" s="189"/>
      <c r="F5" s="189"/>
      <c r="G5" s="189"/>
      <c r="H5" s="189"/>
      <c r="I5" s="303"/>
      <c r="J5" s="315"/>
      <c r="K5" s="301" t="s">
        <v>221</v>
      </c>
      <c r="L5" s="385">
        <f>'Rotor HP'!$T$75</f>
        <v>2</v>
      </c>
      <c r="M5" s="386"/>
      <c r="N5" s="386"/>
      <c r="O5" s="386"/>
      <c r="P5" s="189"/>
      <c r="Q5" s="189"/>
      <c r="R5" s="189"/>
      <c r="S5" s="303"/>
    </row>
    <row r="6" spans="2:20" ht="18.75" thickTop="1" x14ac:dyDescent="0.25">
      <c r="B6" s="313"/>
      <c r="C6" s="575" t="s">
        <v>128</v>
      </c>
      <c r="D6" s="576"/>
      <c r="E6" s="576"/>
      <c r="F6" s="576"/>
      <c r="G6" s="576"/>
      <c r="H6" s="576"/>
      <c r="I6" s="403">
        <v>13.5</v>
      </c>
      <c r="J6" s="408">
        <v>12.65</v>
      </c>
      <c r="K6" s="305"/>
      <c r="L6" s="189"/>
      <c r="M6" s="385"/>
      <c r="N6" s="385"/>
      <c r="O6" s="385"/>
      <c r="P6" s="189"/>
      <c r="Q6" s="189"/>
      <c r="R6" s="189"/>
      <c r="S6" s="303"/>
    </row>
    <row r="7" spans="2:20" ht="18" customHeight="1" x14ac:dyDescent="0.25">
      <c r="B7" s="313"/>
      <c r="C7" s="575" t="s">
        <v>61</v>
      </c>
      <c r="D7" s="576"/>
      <c r="E7" s="576"/>
      <c r="F7" s="576"/>
      <c r="G7" s="576"/>
      <c r="H7" s="576"/>
      <c r="I7" s="404">
        <v>6800</v>
      </c>
      <c r="J7" s="408">
        <v>5000</v>
      </c>
      <c r="K7" s="305"/>
      <c r="L7" s="570" t="s">
        <v>273</v>
      </c>
      <c r="M7" s="189"/>
      <c r="N7" s="189"/>
      <c r="O7" s="189"/>
      <c r="P7" s="455" t="s">
        <v>343</v>
      </c>
      <c r="Q7" s="189"/>
      <c r="R7" s="431" t="s">
        <v>1</v>
      </c>
      <c r="S7" s="430" t="s">
        <v>1</v>
      </c>
    </row>
    <row r="8" spans="2:20" ht="19.5" customHeight="1" thickBot="1" x14ac:dyDescent="0.3">
      <c r="B8" s="313"/>
      <c r="C8" s="575" t="s">
        <v>62</v>
      </c>
      <c r="D8" s="576"/>
      <c r="E8" s="576"/>
      <c r="F8" s="576"/>
      <c r="G8" s="576"/>
      <c r="H8" s="576"/>
      <c r="I8" s="404">
        <v>500</v>
      </c>
      <c r="J8" s="408">
        <v>100</v>
      </c>
      <c r="K8" s="305"/>
      <c r="L8" s="570"/>
      <c r="M8" s="189"/>
      <c r="N8" s="189"/>
      <c r="O8" s="189"/>
      <c r="P8" s="455" t="s">
        <v>344</v>
      </c>
      <c r="Q8" s="189"/>
      <c r="R8" s="573" t="s">
        <v>272</v>
      </c>
      <c r="S8" s="568" t="s">
        <v>180</v>
      </c>
    </row>
    <row r="9" spans="2:20" ht="23.25" customHeight="1" thickTop="1" thickBot="1" x14ac:dyDescent="0.3">
      <c r="B9" s="313"/>
      <c r="C9" s="575" t="s">
        <v>340</v>
      </c>
      <c r="D9" s="576"/>
      <c r="E9" s="576"/>
      <c r="F9" s="576"/>
      <c r="G9" s="576"/>
      <c r="H9" s="576"/>
      <c r="I9" s="450">
        <v>29</v>
      </c>
      <c r="J9" s="408">
        <v>14.7</v>
      </c>
      <c r="K9" s="305"/>
      <c r="L9" s="432">
        <f>P9*I14</f>
        <v>637.31081332237261</v>
      </c>
      <c r="M9" s="189"/>
      <c r="N9" s="189"/>
      <c r="O9" s="189"/>
      <c r="P9" s="432">
        <f>5252*P22/K12</f>
        <v>223.61782923592023</v>
      </c>
      <c r="Q9" s="189"/>
      <c r="R9" s="574"/>
      <c r="S9" s="568"/>
    </row>
    <row r="10" spans="2:20" ht="18.75" customHeight="1" thickTop="1" x14ac:dyDescent="0.25">
      <c r="B10" s="313"/>
      <c r="C10" s="583" t="s">
        <v>250</v>
      </c>
      <c r="D10" s="576"/>
      <c r="E10" s="576"/>
      <c r="F10" s="576"/>
      <c r="G10" s="576"/>
      <c r="H10" s="576"/>
      <c r="I10" s="412">
        <v>90</v>
      </c>
      <c r="J10" s="408">
        <v>59</v>
      </c>
      <c r="K10" s="585" t="s">
        <v>153</v>
      </c>
      <c r="L10" s="580" t="s">
        <v>85</v>
      </c>
      <c r="M10" s="587" t="s">
        <v>18</v>
      </c>
      <c r="N10" s="587" t="s">
        <v>270</v>
      </c>
      <c r="O10" s="587" t="s">
        <v>271</v>
      </c>
      <c r="P10" s="582" t="s">
        <v>283</v>
      </c>
      <c r="Q10" s="571" t="s">
        <v>89</v>
      </c>
      <c r="R10" s="574"/>
      <c r="S10" s="568"/>
    </row>
    <row r="11" spans="2:20" ht="18.75" customHeight="1" thickBot="1" x14ac:dyDescent="0.3">
      <c r="B11" s="313"/>
      <c r="C11" s="584" t="s">
        <v>366</v>
      </c>
      <c r="D11" s="576"/>
      <c r="E11" s="576"/>
      <c r="F11" s="576"/>
      <c r="G11" s="576"/>
      <c r="H11" s="576"/>
      <c r="I11" s="514" t="s">
        <v>379</v>
      </c>
      <c r="J11" s="323" t="s">
        <v>370</v>
      </c>
      <c r="K11" s="586"/>
      <c r="L11" s="581"/>
      <c r="M11" s="588"/>
      <c r="N11" s="588"/>
      <c r="O11" s="572"/>
      <c r="P11" s="572"/>
      <c r="Q11" s="572"/>
      <c r="R11" s="572"/>
      <c r="S11" s="569"/>
    </row>
    <row r="12" spans="2:20" ht="18" customHeight="1" thickTop="1" thickBot="1" x14ac:dyDescent="0.3">
      <c r="B12" s="313"/>
      <c r="C12" s="411" t="s">
        <v>367</v>
      </c>
      <c r="D12" s="513" t="str">
        <f>IF(AND(I11="No",'Manifold Pressure'!$F$10=TRUE),"Manifold Pressure exceeds Ambient","")</f>
        <v/>
      </c>
      <c r="E12" s="34"/>
      <c r="F12" s="34"/>
      <c r="G12" s="34"/>
      <c r="H12" s="189"/>
      <c r="I12" s="454" t="s">
        <v>1</v>
      </c>
      <c r="J12" s="315"/>
      <c r="K12" s="376">
        <f>'Rotor HP'!N9</f>
        <v>6800</v>
      </c>
      <c r="L12" s="377">
        <f>'Rotor HP'!O9</f>
        <v>2385.9649122807018</v>
      </c>
      <c r="M12" s="433">
        <f>'Rotor HP'!$Q$92</f>
        <v>299.07407407407408</v>
      </c>
      <c r="N12" s="434">
        <f>'Rotor HP'!$Q$93</f>
        <v>20.951773798104746</v>
      </c>
      <c r="O12" s="435">
        <f>'Rotor HP'!$Q$94</f>
        <v>1.5519832443040551</v>
      </c>
      <c r="P12" s="377">
        <f>'Rotor HP'!P9</f>
        <v>166.84666412583664</v>
      </c>
      <c r="Q12" s="378">
        <f>'Rotor HP'!Q9</f>
        <v>15.519832443040553</v>
      </c>
      <c r="R12" s="377">
        <f>'Rotor HP'!R9</f>
        <v>5111.1981512413549</v>
      </c>
      <c r="S12" s="379">
        <f>'Rotor HP'!S9</f>
        <v>2555.5990756206775</v>
      </c>
    </row>
    <row r="13" spans="2:20" ht="18.75" thickTop="1" x14ac:dyDescent="0.25">
      <c r="B13" s="313"/>
      <c r="C13" s="308" t="s">
        <v>220</v>
      </c>
      <c r="D13" s="298"/>
      <c r="E13" s="298"/>
      <c r="F13" s="298"/>
      <c r="G13" s="298"/>
      <c r="H13" s="298"/>
      <c r="I13" s="405">
        <v>2</v>
      </c>
      <c r="J13" s="408">
        <v>2</v>
      </c>
      <c r="K13" s="376">
        <f>'Rotor HP'!N10</f>
        <v>7300</v>
      </c>
      <c r="L13" s="377">
        <f>'Rotor HP'!O10</f>
        <v>2561.4035087719299</v>
      </c>
      <c r="M13" s="378">
        <f>'Rotor HP'!$R$92</f>
        <v>321.06481481481484</v>
      </c>
      <c r="N13" s="435">
        <f>'Rotor HP'!$R$93</f>
        <v>22.492345400906565</v>
      </c>
      <c r="O13" s="435">
        <f>'Rotor HP'!$R$94</f>
        <v>1.6660996593264121</v>
      </c>
      <c r="P13" s="377">
        <f>'Rotor HP'!P10</f>
        <v>179.11480119391288</v>
      </c>
      <c r="Q13" s="378">
        <f>'Rotor HP'!Q10</f>
        <v>16.66099659326412</v>
      </c>
      <c r="R13" s="377">
        <f>'Rotor HP'!R10</f>
        <v>5487.0215447149831</v>
      </c>
      <c r="S13" s="379">
        <f>'Rotor HP'!S10</f>
        <v>2743.5107723574915</v>
      </c>
    </row>
    <row r="14" spans="2:20" ht="18.75" thickBot="1" x14ac:dyDescent="0.3">
      <c r="B14" s="313"/>
      <c r="C14" s="309" t="s">
        <v>219</v>
      </c>
      <c r="D14" s="295"/>
      <c r="E14" s="295"/>
      <c r="F14" s="295"/>
      <c r="G14" s="295"/>
      <c r="H14" s="295"/>
      <c r="I14" s="406">
        <v>2.85</v>
      </c>
      <c r="J14" s="408">
        <v>2.17</v>
      </c>
      <c r="K14" s="376">
        <f>'Rotor HP'!N11</f>
        <v>7800</v>
      </c>
      <c r="L14" s="377">
        <f>'Rotor HP'!O11</f>
        <v>2736.8421052631579</v>
      </c>
      <c r="M14" s="378">
        <f>'Rotor HP'!$S$92</f>
        <v>343.0555555555556</v>
      </c>
      <c r="N14" s="435">
        <f>'Rotor HP'!$S$93</f>
        <v>24.032917003708388</v>
      </c>
      <c r="O14" s="435">
        <f>'Rotor HP'!$S$94</f>
        <v>1.7802160743487694</v>
      </c>
      <c r="P14" s="377">
        <f>'Rotor HP'!P11</f>
        <v>191.38293826198918</v>
      </c>
      <c r="Q14" s="378">
        <f>'Rotor HP'!Q11</f>
        <v>17.802160743487693</v>
      </c>
      <c r="R14" s="377">
        <f>'Rotor HP'!R11</f>
        <v>5862.8449381886139</v>
      </c>
      <c r="S14" s="379">
        <f>'Rotor HP'!S11</f>
        <v>2931.422469094307</v>
      </c>
    </row>
    <row r="15" spans="2:20" ht="13.5" thickTop="1" x14ac:dyDescent="0.2">
      <c r="B15" s="313"/>
      <c r="C15" s="315"/>
      <c r="D15" s="315"/>
      <c r="E15" s="315"/>
      <c r="F15" s="315"/>
      <c r="G15" s="315"/>
      <c r="H15" s="315"/>
      <c r="I15" s="315"/>
      <c r="J15" s="315"/>
      <c r="K15" s="376">
        <f>'Rotor HP'!N12</f>
        <v>8300</v>
      </c>
      <c r="L15" s="377">
        <f>'Rotor HP'!O12</f>
        <v>2912.280701754386</v>
      </c>
      <c r="M15" s="378">
        <f>'Rotor HP'!$T$92</f>
        <v>365.0462962962963</v>
      </c>
      <c r="N15" s="435">
        <f>'Rotor HP'!$T$93</f>
        <v>25.573488606510203</v>
      </c>
      <c r="O15" s="435">
        <f>'Rotor HP'!$T$94</f>
        <v>1.894332489371126</v>
      </c>
      <c r="P15" s="377">
        <f>'Rotor HP'!P12</f>
        <v>203.65107533006531</v>
      </c>
      <c r="Q15" s="378">
        <f>'Rotor HP'!Q12</f>
        <v>18.94332489371126</v>
      </c>
      <c r="R15" s="377">
        <f>'Rotor HP'!R12</f>
        <v>6238.6683316622402</v>
      </c>
      <c r="S15" s="379">
        <f>'Rotor HP'!S12</f>
        <v>3119.3341658311201</v>
      </c>
    </row>
    <row r="16" spans="2:20" x14ac:dyDescent="0.2">
      <c r="B16" s="313"/>
      <c r="C16" s="315" t="s">
        <v>364</v>
      </c>
      <c r="D16" s="315"/>
      <c r="E16" s="315"/>
      <c r="F16" s="315"/>
      <c r="G16" s="315"/>
      <c r="H16" s="315"/>
      <c r="I16" s="315"/>
      <c r="J16" s="315"/>
      <c r="K16" s="376">
        <f>'Rotor HP'!N13</f>
        <v>8800</v>
      </c>
      <c r="L16" s="377">
        <f>'Rotor HP'!O13</f>
        <v>3087.719298245614</v>
      </c>
      <c r="M16" s="378">
        <f>'Rotor HP'!$U$92</f>
        <v>387.03703703703701</v>
      </c>
      <c r="N16" s="435">
        <f>'Rotor HP'!$U$93</f>
        <v>27.114060209312022</v>
      </c>
      <c r="O16" s="435">
        <f>'Rotor HP'!$U$94</f>
        <v>2.0084489043934832</v>
      </c>
      <c r="P16" s="377">
        <f>'Rotor HP'!P13</f>
        <v>215.91921239814155</v>
      </c>
      <c r="Q16" s="378">
        <f>'Rotor HP'!Q13</f>
        <v>20.08448904393483</v>
      </c>
      <c r="R16" s="377">
        <f>'Rotor HP'!R13</f>
        <v>6614.4917251358711</v>
      </c>
      <c r="S16" s="379">
        <f>'Rotor HP'!S13</f>
        <v>3307.2458625679355</v>
      </c>
    </row>
    <row r="17" spans="2:27" x14ac:dyDescent="0.2">
      <c r="B17" s="313"/>
      <c r="C17" s="589" t="s">
        <v>342</v>
      </c>
      <c r="D17" s="574"/>
      <c r="E17" s="574"/>
      <c r="F17" s="574"/>
      <c r="G17" s="574"/>
      <c r="H17" s="574"/>
      <c r="I17" s="574"/>
      <c r="J17" s="315"/>
      <c r="K17" s="376">
        <f>'Rotor HP'!N14</f>
        <v>9300</v>
      </c>
      <c r="L17" s="377">
        <f>'Rotor HP'!O14</f>
        <v>3263.1578947368421</v>
      </c>
      <c r="M17" s="378">
        <f>'Rotor HP'!$V$92</f>
        <v>409.02777777777777</v>
      </c>
      <c r="N17" s="435">
        <f>'Rotor HP'!$V$93</f>
        <v>28.654631812113841</v>
      </c>
      <c r="O17" s="435">
        <f>'Rotor HP'!$V$94</f>
        <v>2.1225653194158398</v>
      </c>
      <c r="P17" s="377">
        <f>'Rotor HP'!P14</f>
        <v>228.18734946621774</v>
      </c>
      <c r="Q17" s="378">
        <f>'Rotor HP'!Q14</f>
        <v>21.225653194158401</v>
      </c>
      <c r="R17" s="377">
        <f>'Rotor HP'!R14</f>
        <v>6990.3151186094983</v>
      </c>
      <c r="S17" s="379">
        <f>'Rotor HP'!S14</f>
        <v>3495.1575593047492</v>
      </c>
    </row>
    <row r="18" spans="2:27" ht="12.75" customHeight="1" x14ac:dyDescent="0.2">
      <c r="B18" s="313"/>
      <c r="C18" s="574"/>
      <c r="D18" s="574"/>
      <c r="E18" s="574"/>
      <c r="F18" s="574"/>
      <c r="G18" s="574"/>
      <c r="H18" s="574"/>
      <c r="I18" s="574"/>
      <c r="J18" s="315"/>
      <c r="K18" s="376">
        <f>'Rotor HP'!N15</f>
        <v>9800</v>
      </c>
      <c r="L18" s="377">
        <f>'Rotor HP'!O15</f>
        <v>3438.5964912280701</v>
      </c>
      <c r="M18" s="378">
        <f>'Rotor HP'!$W$92</f>
        <v>431.01851851851853</v>
      </c>
      <c r="N18" s="435">
        <f>'Rotor HP'!$W$93</f>
        <v>30.195203414915664</v>
      </c>
      <c r="O18" s="435">
        <f>'Rotor HP'!$W$94</f>
        <v>2.2366817344381973</v>
      </c>
      <c r="P18" s="377">
        <f>'Rotor HP'!P15</f>
        <v>240.45548653429401</v>
      </c>
      <c r="Q18" s="378">
        <f>'Rotor HP'!Q15</f>
        <v>22.366817344381975</v>
      </c>
      <c r="R18" s="377">
        <f>'Rotor HP'!R15</f>
        <v>7366.1385120831292</v>
      </c>
      <c r="S18" s="379">
        <f>'Rotor HP'!S15</f>
        <v>3683.0692560415646</v>
      </c>
    </row>
    <row r="19" spans="2:27" x14ac:dyDescent="0.2">
      <c r="B19" s="313"/>
      <c r="C19" s="574"/>
      <c r="D19" s="574"/>
      <c r="E19" s="574"/>
      <c r="F19" s="574"/>
      <c r="G19" s="574"/>
      <c r="H19" s="574"/>
      <c r="I19" s="574"/>
      <c r="J19" s="315"/>
      <c r="K19" s="376">
        <f>'Rotor HP'!N16</f>
        <v>10300</v>
      </c>
      <c r="L19" s="377">
        <f>'Rotor HP'!O16</f>
        <v>3614.0350877192982</v>
      </c>
      <c r="M19" s="378">
        <f>'Rotor HP'!$X$92</f>
        <v>453.0092592592593</v>
      </c>
      <c r="N19" s="435">
        <f>'Rotor HP'!$X$93</f>
        <v>31.735775017717486</v>
      </c>
      <c r="O19" s="435">
        <f>'Rotor HP'!$X$94</f>
        <v>2.3507981494605543</v>
      </c>
      <c r="P19" s="377">
        <f>'Rotor HP'!P16</f>
        <v>252.72362360237034</v>
      </c>
      <c r="Q19" s="378">
        <f>'Rotor HP'!Q16</f>
        <v>23.507981494605541</v>
      </c>
      <c r="R19" s="377">
        <f>'Rotor HP'!R16</f>
        <v>7741.9619055567609</v>
      </c>
      <c r="S19" s="379">
        <f>'Rotor HP'!S16</f>
        <v>3870.9809527783805</v>
      </c>
    </row>
    <row r="20" spans="2:27" x14ac:dyDescent="0.2">
      <c r="B20" s="313"/>
      <c r="C20" s="574"/>
      <c r="D20" s="574"/>
      <c r="E20" s="574"/>
      <c r="F20" s="574"/>
      <c r="G20" s="574"/>
      <c r="H20" s="574"/>
      <c r="I20" s="574"/>
      <c r="J20" s="315"/>
      <c r="K20" s="376">
        <f>'Rotor HP'!N17</f>
        <v>10800</v>
      </c>
      <c r="L20" s="377">
        <f>'Rotor HP'!O17</f>
        <v>3789.4736842105262</v>
      </c>
      <c r="M20" s="378">
        <f>'Rotor HP'!$Y$92</f>
        <v>475</v>
      </c>
      <c r="N20" s="435">
        <f>'Rotor HP'!$Y$93</f>
        <v>33.276346620519298</v>
      </c>
      <c r="O20" s="435">
        <f>'Rotor HP'!$Y$94</f>
        <v>2.4649145644829109</v>
      </c>
      <c r="P20" s="377">
        <f>'Rotor HP'!P17</f>
        <v>264.99176067044647</v>
      </c>
      <c r="Q20" s="378">
        <f>'Rotor HP'!Q17</f>
        <v>24.649145644829112</v>
      </c>
      <c r="R20" s="377">
        <f>'Rotor HP'!R17</f>
        <v>8117.7852990303873</v>
      </c>
      <c r="S20" s="379">
        <f>'Rotor HP'!S17</f>
        <v>4058.8926495151936</v>
      </c>
    </row>
    <row r="21" spans="2:27" x14ac:dyDescent="0.2">
      <c r="B21" s="313"/>
      <c r="C21" s="574"/>
      <c r="D21" s="574"/>
      <c r="E21" s="574"/>
      <c r="F21" s="574"/>
      <c r="G21" s="574"/>
      <c r="H21" s="574"/>
      <c r="I21" s="574"/>
      <c r="J21" s="315"/>
      <c r="K21" s="376">
        <f>'Rotor HP'!N18</f>
        <v>11300</v>
      </c>
      <c r="L21" s="377">
        <f>'Rotor HP'!O18</f>
        <v>3964.9122807017543</v>
      </c>
      <c r="M21" s="378">
        <f>'Rotor HP'!$Z$92</f>
        <v>496.9907407407407</v>
      </c>
      <c r="N21" s="435">
        <f>'Rotor HP'!$Z$93</f>
        <v>34.816918223321117</v>
      </c>
      <c r="O21" s="435">
        <f>'Rotor HP'!$Z$94</f>
        <v>2.5790309795052679</v>
      </c>
      <c r="P21" s="377">
        <f>'Rotor HP'!P18</f>
        <v>277.25989773852274</v>
      </c>
      <c r="Q21" s="378">
        <f>'Rotor HP'!Q18</f>
        <v>25.790309795052679</v>
      </c>
      <c r="R21" s="377">
        <f>'Rotor HP'!R18</f>
        <v>8493.6086925040163</v>
      </c>
      <c r="S21" s="379">
        <f>'Rotor HP'!S18</f>
        <v>4246.8043462520081</v>
      </c>
      <c r="V21" t="s">
        <v>1</v>
      </c>
      <c r="W21" t="s">
        <v>1</v>
      </c>
    </row>
    <row r="22" spans="2:27" ht="13.5" thickBot="1" x14ac:dyDescent="0.25">
      <c r="B22" s="313"/>
      <c r="C22" s="574"/>
      <c r="D22" s="574"/>
      <c r="E22" s="574"/>
      <c r="F22" s="574"/>
      <c r="G22" s="574"/>
      <c r="H22" s="574"/>
      <c r="I22" s="574"/>
      <c r="J22" s="315"/>
      <c r="K22" s="380">
        <f>'Rotor HP'!N19</f>
        <v>11800</v>
      </c>
      <c r="L22" s="381">
        <f>'Rotor HP'!O19</f>
        <v>4140.3508771929819</v>
      </c>
      <c r="M22" s="382">
        <f>'Rotor HP'!$AA$92</f>
        <v>518.98148148148152</v>
      </c>
      <c r="N22" s="436">
        <f>'Rotor HP'!$AA$93</f>
        <v>36.357489826122944</v>
      </c>
      <c r="O22" s="436">
        <f>'Rotor HP'!$AA$94</f>
        <v>2.6931473945276254</v>
      </c>
      <c r="P22" s="381">
        <f>'Rotor HP'!P19</f>
        <v>289.5280348065989</v>
      </c>
      <c r="Q22" s="382">
        <f>'Rotor HP'!Q19</f>
        <v>26.931473945276252</v>
      </c>
      <c r="R22" s="381">
        <f>'Rotor HP'!R19</f>
        <v>8869.4320859776453</v>
      </c>
      <c r="S22" s="383">
        <f>'Rotor HP'!S19</f>
        <v>4434.7160429888227</v>
      </c>
    </row>
    <row r="23" spans="2:27" ht="14.25" thickTop="1" thickBot="1" x14ac:dyDescent="0.25">
      <c r="B23" s="314"/>
      <c r="C23" s="316"/>
      <c r="D23" s="316"/>
      <c r="E23" s="316"/>
      <c r="F23" s="316"/>
      <c r="G23" s="316"/>
      <c r="H23" s="316"/>
      <c r="I23" s="316"/>
      <c r="J23" s="316"/>
      <c r="K23" s="320"/>
      <c r="L23" s="320"/>
      <c r="M23" s="320"/>
      <c r="N23" s="320"/>
      <c r="O23" s="320"/>
      <c r="P23" s="320"/>
      <c r="Q23" s="320"/>
      <c r="R23" s="320"/>
      <c r="S23" s="319"/>
    </row>
    <row r="24" spans="2:27" ht="13.5" thickTop="1" x14ac:dyDescent="0.2">
      <c r="E24" t="s">
        <v>1</v>
      </c>
      <c r="V24" t="s">
        <v>114</v>
      </c>
    </row>
    <row r="25" spans="2:27" ht="13.5" thickBot="1" x14ac:dyDescent="0.25">
      <c r="D25" t="s">
        <v>114</v>
      </c>
      <c r="J25" t="s">
        <v>1</v>
      </c>
      <c r="K25" t="s">
        <v>1</v>
      </c>
    </row>
    <row r="26" spans="2:27" ht="18.75" thickTop="1" x14ac:dyDescent="0.25">
      <c r="B26" s="361"/>
      <c r="C26" s="362"/>
      <c r="D26" s="362"/>
      <c r="E26" s="363" t="s">
        <v>224</v>
      </c>
      <c r="F26" s="362"/>
      <c r="G26" s="362"/>
      <c r="H26" s="362"/>
      <c r="I26" s="362"/>
      <c r="J26" s="362"/>
      <c r="K26" s="362"/>
      <c r="L26" s="362"/>
      <c r="M26" s="362"/>
      <c r="N26" s="362"/>
      <c r="O26" s="362"/>
      <c r="P26" s="362"/>
      <c r="Q26" s="362"/>
      <c r="R26" s="364"/>
      <c r="S26" s="416" t="s">
        <v>255</v>
      </c>
      <c r="T26" s="417"/>
      <c r="U26" s="417"/>
      <c r="V26" s="362"/>
      <c r="W26" s="362"/>
      <c r="X26" s="362"/>
      <c r="Y26" s="362"/>
      <c r="Z26" s="362"/>
      <c r="AA26" s="364"/>
    </row>
    <row r="27" spans="2:27" x14ac:dyDescent="0.2">
      <c r="B27" s="365"/>
      <c r="C27" s="315"/>
      <c r="D27" s="315"/>
      <c r="E27" s="315"/>
      <c r="F27" s="315"/>
      <c r="G27" s="315"/>
      <c r="H27" s="315"/>
      <c r="I27" s="315"/>
      <c r="J27" s="315"/>
      <c r="K27" s="315"/>
      <c r="L27" s="315"/>
      <c r="M27" s="315"/>
      <c r="N27" s="315"/>
      <c r="O27" s="315"/>
      <c r="P27" s="315"/>
      <c r="Q27" s="315"/>
      <c r="R27" s="366"/>
      <c r="S27" s="418"/>
      <c r="T27" s="419"/>
      <c r="U27" s="419"/>
      <c r="V27" s="324"/>
      <c r="W27" s="324" t="s">
        <v>256</v>
      </c>
      <c r="X27" s="324"/>
      <c r="Y27" s="324"/>
      <c r="Z27" s="324"/>
      <c r="AA27" s="366"/>
    </row>
    <row r="28" spans="2:27" x14ac:dyDescent="0.2">
      <c r="B28" s="365"/>
      <c r="C28" s="315"/>
      <c r="D28" s="315" t="s">
        <v>242</v>
      </c>
      <c r="E28" s="315"/>
      <c r="F28" s="315"/>
      <c r="G28" s="315"/>
      <c r="H28" s="315"/>
      <c r="I28" s="315"/>
      <c r="J28" s="315"/>
      <c r="K28" s="315"/>
      <c r="L28" s="315"/>
      <c r="M28" s="315"/>
      <c r="N28" s="315"/>
      <c r="O28" s="315"/>
      <c r="P28" s="315"/>
      <c r="Q28" s="315"/>
      <c r="R28" s="366"/>
      <c r="S28" s="418"/>
      <c r="T28" s="420" t="s">
        <v>257</v>
      </c>
      <c r="U28" s="419"/>
      <c r="V28" s="324"/>
      <c r="W28" s="315" t="s">
        <v>258</v>
      </c>
      <c r="X28" s="324"/>
      <c r="Y28" s="324"/>
      <c r="Z28" s="324"/>
      <c r="AA28" s="366"/>
    </row>
    <row r="29" spans="2:27" ht="13.5" thickBot="1" x14ac:dyDescent="0.25">
      <c r="B29" s="365"/>
      <c r="C29" s="315"/>
      <c r="D29" s="367" t="s">
        <v>229</v>
      </c>
      <c r="E29" s="315"/>
      <c r="F29" s="315"/>
      <c r="G29" s="315"/>
      <c r="H29" s="315"/>
      <c r="I29" s="315"/>
      <c r="J29" s="315"/>
      <c r="K29" s="315"/>
      <c r="L29" s="315"/>
      <c r="M29" s="315"/>
      <c r="N29" s="315"/>
      <c r="O29" s="315"/>
      <c r="P29" s="315"/>
      <c r="Q29" s="315"/>
      <c r="R29" s="366"/>
      <c r="S29" s="418"/>
      <c r="T29" s="421" t="s">
        <v>259</v>
      </c>
      <c r="U29" s="422"/>
      <c r="V29" s="315"/>
      <c r="W29" s="315" t="s">
        <v>260</v>
      </c>
      <c r="X29" s="315"/>
      <c r="Y29" s="315"/>
      <c r="Z29" s="315"/>
      <c r="AA29" s="366"/>
    </row>
    <row r="30" spans="2:27" ht="16.5" thickTop="1" x14ac:dyDescent="0.25">
      <c r="B30" s="365"/>
      <c r="C30" s="315"/>
      <c r="D30" s="367" t="s">
        <v>230</v>
      </c>
      <c r="E30" s="315"/>
      <c r="F30" s="315"/>
      <c r="G30" s="315"/>
      <c r="H30" s="315"/>
      <c r="I30" s="315"/>
      <c r="J30" s="315"/>
      <c r="K30" s="315"/>
      <c r="L30" s="315"/>
      <c r="M30" s="315"/>
      <c r="N30" s="315"/>
      <c r="O30" s="315"/>
      <c r="P30" s="315"/>
      <c r="Q30" s="315"/>
      <c r="R30" s="366"/>
      <c r="S30" s="418"/>
      <c r="T30" s="423" t="s">
        <v>261</v>
      </c>
      <c r="U30" s="424">
        <v>19</v>
      </c>
      <c r="V30" s="315"/>
      <c r="W30" s="315" t="s">
        <v>262</v>
      </c>
      <c r="X30" s="315"/>
      <c r="Y30" s="315"/>
      <c r="Z30" s="315"/>
      <c r="AA30" s="366"/>
    </row>
    <row r="31" spans="2:27" ht="16.5" thickBot="1" x14ac:dyDescent="0.3">
      <c r="B31" s="365"/>
      <c r="C31" s="315"/>
      <c r="D31" s="367" t="s">
        <v>231</v>
      </c>
      <c r="E31" s="315"/>
      <c r="F31" s="315"/>
      <c r="G31" s="315"/>
      <c r="H31" s="315"/>
      <c r="I31" s="315"/>
      <c r="J31" s="315"/>
      <c r="K31" s="315"/>
      <c r="L31" s="315"/>
      <c r="M31" s="315"/>
      <c r="N31" s="315"/>
      <c r="O31" s="315"/>
      <c r="P31" s="315"/>
      <c r="Q31" s="315"/>
      <c r="R31" s="366"/>
      <c r="S31" s="418"/>
      <c r="T31" s="423" t="s">
        <v>263</v>
      </c>
      <c r="U31" s="425">
        <v>24</v>
      </c>
      <c r="V31" s="315"/>
      <c r="W31" s="315" t="s">
        <v>264</v>
      </c>
      <c r="X31" s="315"/>
      <c r="Y31" s="315"/>
      <c r="Z31" s="315"/>
      <c r="AA31" s="366"/>
    </row>
    <row r="32" spans="2:27" ht="17.25" thickTop="1" thickBot="1" x14ac:dyDescent="0.3">
      <c r="B32" s="365"/>
      <c r="C32" s="315"/>
      <c r="D32" s="367" t="s">
        <v>232</v>
      </c>
      <c r="E32" s="315"/>
      <c r="F32" s="315"/>
      <c r="G32" s="315"/>
      <c r="H32" s="315"/>
      <c r="I32" s="315"/>
      <c r="J32" s="315"/>
      <c r="K32" s="315"/>
      <c r="L32" s="315"/>
      <c r="M32" s="315"/>
      <c r="N32" s="315"/>
      <c r="O32" s="315"/>
      <c r="P32" s="315"/>
      <c r="Q32" s="315"/>
      <c r="R32" s="366"/>
      <c r="S32" s="418"/>
      <c r="T32" s="423" t="s">
        <v>1</v>
      </c>
      <c r="U32" s="426"/>
      <c r="V32" s="315"/>
      <c r="W32" s="315" t="s">
        <v>265</v>
      </c>
      <c r="X32" s="315"/>
      <c r="Y32" s="315"/>
      <c r="Z32" s="315"/>
      <c r="AA32" s="366"/>
    </row>
    <row r="33" spans="2:27" ht="17.25" thickTop="1" thickBot="1" x14ac:dyDescent="0.3">
      <c r="B33" s="365"/>
      <c r="C33" s="315"/>
      <c r="D33" s="367" t="s">
        <v>233</v>
      </c>
      <c r="E33" s="315"/>
      <c r="F33" s="315"/>
      <c r="G33" s="315"/>
      <c r="H33" s="315"/>
      <c r="I33" s="315"/>
      <c r="J33" s="315"/>
      <c r="K33" s="315"/>
      <c r="L33" s="315"/>
      <c r="M33" s="315"/>
      <c r="N33" s="315"/>
      <c r="O33" s="315"/>
      <c r="P33" s="315"/>
      <c r="Q33" s="315"/>
      <c r="R33" s="366"/>
      <c r="S33" s="418"/>
      <c r="T33" s="423" t="s">
        <v>266</v>
      </c>
      <c r="U33" s="427">
        <v>1</v>
      </c>
      <c r="V33" s="315"/>
      <c r="W33" s="324" t="s">
        <v>267</v>
      </c>
      <c r="X33" s="315"/>
      <c r="Y33" s="315"/>
      <c r="Z33" s="315"/>
      <c r="AA33" s="366"/>
    </row>
    <row r="34" spans="2:27" ht="17.25" thickTop="1" thickBot="1" x14ac:dyDescent="0.3">
      <c r="B34" s="365"/>
      <c r="C34" s="315"/>
      <c r="D34" s="315"/>
      <c r="E34" s="315"/>
      <c r="F34" s="315"/>
      <c r="G34" s="315"/>
      <c r="H34" s="315"/>
      <c r="I34" s="315"/>
      <c r="J34" s="315"/>
      <c r="K34" s="315"/>
      <c r="L34" s="315"/>
      <c r="M34" s="315"/>
      <c r="N34" s="315"/>
      <c r="O34" s="315"/>
      <c r="P34" s="315"/>
      <c r="Q34" s="315"/>
      <c r="R34" s="366"/>
      <c r="S34" s="418"/>
      <c r="T34" s="428" t="s">
        <v>268</v>
      </c>
      <c r="U34" s="429">
        <v>1</v>
      </c>
      <c r="V34" s="315"/>
      <c r="W34" s="315" t="s">
        <v>269</v>
      </c>
      <c r="X34" s="315"/>
      <c r="Y34" s="315"/>
      <c r="Z34" s="315"/>
      <c r="AA34" s="366"/>
    </row>
    <row r="35" spans="2:27" ht="19.5" customHeight="1" thickTop="1" thickBot="1" x14ac:dyDescent="0.35">
      <c r="B35" s="365"/>
      <c r="C35" s="306" t="s">
        <v>226</v>
      </c>
      <c r="D35" s="351"/>
      <c r="E35" s="407">
        <v>90</v>
      </c>
      <c r="F35" s="347" t="s">
        <v>228</v>
      </c>
      <c r="G35" s="510" t="str">
        <f>IF((OR(E37&gt;K22,E37&lt;K12)),"Invalid RPM","" )</f>
        <v/>
      </c>
      <c r="H35" s="315"/>
      <c r="I35" s="315"/>
      <c r="J35" s="375" t="s">
        <v>244</v>
      </c>
      <c r="K35" s="369"/>
      <c r="L35" s="325"/>
      <c r="M35" s="325"/>
      <c r="N35" s="325"/>
      <c r="O35" s="325"/>
      <c r="P35" s="325"/>
      <c r="Q35" s="326"/>
      <c r="R35" s="366"/>
      <c r="S35" s="418"/>
      <c r="T35" s="415"/>
      <c r="U35" s="324"/>
      <c r="V35" s="315"/>
      <c r="W35" s="315"/>
      <c r="X35" s="315"/>
      <c r="Y35" s="315"/>
      <c r="Z35" s="315"/>
      <c r="AA35" s="366"/>
    </row>
    <row r="36" spans="2:27" ht="19.5" customHeight="1" thickTop="1" thickBot="1" x14ac:dyDescent="0.3">
      <c r="B36" s="365"/>
      <c r="C36" s="456" t="s">
        <v>345</v>
      </c>
      <c r="D36" s="352"/>
      <c r="E36" s="516">
        <v>500</v>
      </c>
      <c r="F36" s="348" t="s">
        <v>346</v>
      </c>
      <c r="G36" s="315"/>
      <c r="H36" s="315"/>
      <c r="I36" s="315"/>
      <c r="J36" s="370"/>
      <c r="K36" s="137"/>
      <c r="L36" s="13"/>
      <c r="M36" s="13"/>
      <c r="N36" s="13"/>
      <c r="O36" s="13"/>
      <c r="P36" s="13"/>
      <c r="Q36" s="328"/>
      <c r="R36" s="366"/>
      <c r="S36" s="368"/>
      <c r="T36" s="372"/>
      <c r="U36" s="372"/>
      <c r="V36" s="372"/>
      <c r="W36" s="372"/>
      <c r="X36" s="372"/>
      <c r="Y36" s="372"/>
      <c r="Z36" s="372"/>
      <c r="AA36" s="371"/>
    </row>
    <row r="37" spans="2:27" ht="19.5" thickTop="1" thickBot="1" x14ac:dyDescent="0.3">
      <c r="B37" s="365"/>
      <c r="C37" s="577" t="s">
        <v>227</v>
      </c>
      <c r="D37" s="571"/>
      <c r="E37" s="407">
        <v>6800</v>
      </c>
      <c r="F37" s="348" t="s">
        <v>0</v>
      </c>
      <c r="G37" s="353" t="s">
        <v>75</v>
      </c>
      <c r="H37" s="360" t="s">
        <v>239</v>
      </c>
      <c r="I37" s="324"/>
      <c r="J37" s="327"/>
      <c r="K37" s="13" t="s">
        <v>245</v>
      </c>
      <c r="L37" s="13"/>
      <c r="M37" s="13"/>
      <c r="N37" s="389">
        <f>'Cooling Calculations'!$E$51</f>
        <v>12141.686264400001</v>
      </c>
      <c r="O37" s="13" t="s">
        <v>243</v>
      </c>
      <c r="P37" s="13"/>
      <c r="Q37" s="328"/>
      <c r="R37" s="366"/>
      <c r="T37" s="8" t="s">
        <v>1</v>
      </c>
      <c r="U37" s="250"/>
      <c r="V37" s="250"/>
      <c r="W37" s="250"/>
    </row>
    <row r="38" spans="2:27" ht="19.5" thickTop="1" thickBot="1" x14ac:dyDescent="0.3">
      <c r="B38" s="365"/>
      <c r="C38" s="578"/>
      <c r="D38" s="579"/>
      <c r="E38" s="350"/>
      <c r="F38" s="349"/>
      <c r="G38" s="387">
        <f>IF((OR(E37&gt;K22,E37&lt;K12)),"Invalid RPM",'Cooling Calculations'!O26)</f>
        <v>166.84666412583664</v>
      </c>
      <c r="H38" s="388">
        <f>IF((OR(E37&gt;K22,E37&lt;K12)),"Invalid RPM",'Cooling Calculations'!P26)</f>
        <v>15.519832443040553</v>
      </c>
      <c r="I38" s="324"/>
      <c r="J38" s="327"/>
      <c r="K38" s="13"/>
      <c r="L38" s="13"/>
      <c r="M38" s="13"/>
      <c r="N38" s="390"/>
      <c r="O38" s="13"/>
      <c r="P38" s="13"/>
      <c r="Q38" s="328"/>
      <c r="R38" s="366"/>
      <c r="T38" s="8" t="s">
        <v>1</v>
      </c>
      <c r="U38" s="250"/>
      <c r="V38" s="250"/>
      <c r="W38" s="250"/>
    </row>
    <row r="39" spans="2:27" ht="13.5" thickTop="1" x14ac:dyDescent="0.2">
      <c r="B39" s="365"/>
      <c r="C39" s="315"/>
      <c r="D39" s="315"/>
      <c r="E39" s="315"/>
      <c r="F39" s="315"/>
      <c r="G39" s="315"/>
      <c r="H39" s="315"/>
      <c r="I39" s="315"/>
      <c r="J39" s="327"/>
      <c r="K39" s="13" t="s">
        <v>246</v>
      </c>
      <c r="L39" s="13"/>
      <c r="M39" s="13"/>
      <c r="N39" s="389">
        <f>'Cooling Calculations'!$E$52</f>
        <v>7666.7972268620324</v>
      </c>
      <c r="O39" s="13" t="s">
        <v>243</v>
      </c>
      <c r="P39" s="13"/>
      <c r="Q39" s="328"/>
      <c r="R39" s="366"/>
      <c r="T39" s="8"/>
      <c r="U39" s="250"/>
      <c r="V39" s="250"/>
      <c r="W39" s="250"/>
    </row>
    <row r="40" spans="2:27" x14ac:dyDescent="0.2">
      <c r="B40" s="365"/>
      <c r="C40" s="315"/>
      <c r="D40" s="315"/>
      <c r="E40" s="315"/>
      <c r="F40" s="315"/>
      <c r="G40" s="315"/>
      <c r="H40" s="315"/>
      <c r="I40" s="315"/>
      <c r="J40" s="327"/>
      <c r="K40" s="13"/>
      <c r="L40" s="13"/>
      <c r="M40" s="13"/>
      <c r="N40" s="391"/>
      <c r="O40" s="13"/>
      <c r="P40" s="13"/>
      <c r="Q40" s="328"/>
      <c r="R40" s="366"/>
      <c r="T40" s="8"/>
      <c r="U40" s="250"/>
      <c r="V40" s="250"/>
      <c r="W40" s="250"/>
    </row>
    <row r="41" spans="2:27" ht="18" x14ac:dyDescent="0.25">
      <c r="B41" s="365"/>
      <c r="C41" s="315"/>
      <c r="D41" s="315"/>
      <c r="E41" s="315"/>
      <c r="F41" s="315"/>
      <c r="G41" s="315"/>
      <c r="H41" s="315"/>
      <c r="I41" s="315"/>
      <c r="J41" s="327"/>
      <c r="K41" s="13" t="s">
        <v>247</v>
      </c>
      <c r="L41" s="13"/>
      <c r="M41" s="13"/>
      <c r="N41" s="414" t="str">
        <f>IF((N37-N39&gt;=-0.0000001),"Cooling","")</f>
        <v>Cooling</v>
      </c>
      <c r="O41" s="373" t="str">
        <f>IF((N37-N39&lt;-0.0000001),"Overheating","")</f>
        <v/>
      </c>
      <c r="P41" s="13"/>
      <c r="Q41" s="328"/>
      <c r="R41" s="366"/>
      <c r="T41" s="8"/>
      <c r="U41" s="250"/>
      <c r="V41" s="250"/>
      <c r="W41" s="250"/>
    </row>
    <row r="42" spans="2:27" x14ac:dyDescent="0.2">
      <c r="B42" s="365"/>
      <c r="C42" s="315"/>
      <c r="D42" s="315"/>
      <c r="E42" s="315"/>
      <c r="F42" s="315"/>
      <c r="G42" s="315"/>
      <c r="H42" s="315"/>
      <c r="I42" s="315"/>
      <c r="J42" s="327"/>
      <c r="K42" s="13"/>
      <c r="L42" s="13"/>
      <c r="M42" s="13"/>
      <c r="N42" s="391"/>
      <c r="O42" s="13"/>
      <c r="P42" s="13"/>
      <c r="Q42" s="328"/>
      <c r="R42" s="366"/>
      <c r="T42" s="8"/>
      <c r="U42" s="250"/>
      <c r="V42" s="250"/>
      <c r="W42" s="250"/>
    </row>
    <row r="43" spans="2:27" ht="13.5" thickBot="1" x14ac:dyDescent="0.25">
      <c r="B43" s="365"/>
      <c r="C43" s="315"/>
      <c r="D43" s="315"/>
      <c r="E43" s="315"/>
      <c r="F43" s="315"/>
      <c r="G43" s="315"/>
      <c r="H43" s="315"/>
      <c r="I43" s="315"/>
      <c r="J43" s="329"/>
      <c r="K43" s="330" t="s">
        <v>238</v>
      </c>
      <c r="L43" s="330"/>
      <c r="M43" s="330"/>
      <c r="N43" s="392">
        <f>(N37-N39)/N39</f>
        <v>0.5836712391269947</v>
      </c>
      <c r="O43" s="330"/>
      <c r="P43" s="330"/>
      <c r="Q43" s="331"/>
      <c r="R43" s="366"/>
      <c r="T43" s="8"/>
      <c r="U43" s="250"/>
      <c r="V43" s="250"/>
      <c r="W43" s="250"/>
    </row>
    <row r="44" spans="2:27" ht="13.5" thickTop="1" x14ac:dyDescent="0.2">
      <c r="B44" s="365"/>
      <c r="C44" s="324"/>
      <c r="D44" s="324"/>
      <c r="E44" s="324"/>
      <c r="F44" s="324"/>
      <c r="G44" s="324"/>
      <c r="H44" s="324"/>
      <c r="I44" s="324"/>
      <c r="J44" s="324"/>
      <c r="K44" s="324"/>
      <c r="L44" s="324"/>
      <c r="M44" s="324"/>
      <c r="N44" s="324"/>
      <c r="O44" s="324"/>
      <c r="P44" s="324"/>
      <c r="Q44" s="324"/>
      <c r="R44" s="366"/>
      <c r="T44" s="8"/>
      <c r="U44" s="250"/>
      <c r="V44" s="250"/>
      <c r="W44" s="250"/>
    </row>
    <row r="45" spans="2:27" ht="13.5" thickBot="1" x14ac:dyDescent="0.25">
      <c r="B45" s="365"/>
      <c r="C45" s="324"/>
      <c r="D45" s="324"/>
      <c r="E45" s="324"/>
      <c r="F45" s="324"/>
      <c r="G45" s="324"/>
      <c r="H45" s="324"/>
      <c r="I45" s="324"/>
      <c r="J45" s="324"/>
      <c r="K45" s="324"/>
      <c r="L45" s="324"/>
      <c r="M45" s="324"/>
      <c r="N45" s="315"/>
      <c r="O45" s="315"/>
      <c r="P45" s="316"/>
      <c r="Q45" s="315"/>
      <c r="R45" s="366"/>
    </row>
    <row r="46" spans="2:27" ht="13.5" thickTop="1" x14ac:dyDescent="0.2">
      <c r="B46" s="365"/>
      <c r="C46" s="358" t="s">
        <v>248</v>
      </c>
      <c r="D46" s="341"/>
      <c r="E46" s="341"/>
      <c r="F46" s="341"/>
      <c r="G46" s="341"/>
      <c r="H46" s="341"/>
      <c r="I46" s="342"/>
      <c r="J46" s="332" t="s">
        <v>249</v>
      </c>
      <c r="K46" s="298"/>
      <c r="L46" s="298"/>
      <c r="M46" s="298"/>
      <c r="N46" s="298"/>
      <c r="O46" s="298"/>
      <c r="P46" s="298"/>
      <c r="Q46" s="333"/>
      <c r="R46" s="366"/>
      <c r="S46" s="8"/>
      <c r="T46" s="250" t="s">
        <v>1</v>
      </c>
      <c r="U46" s="250"/>
      <c r="V46" s="250"/>
    </row>
    <row r="47" spans="2:27" x14ac:dyDescent="0.2">
      <c r="B47" s="365"/>
      <c r="C47" s="310"/>
      <c r="D47" s="343"/>
      <c r="E47" s="343"/>
      <c r="F47" s="343"/>
      <c r="G47" s="343"/>
      <c r="H47" s="343"/>
      <c r="I47" s="344"/>
      <c r="J47" s="334"/>
      <c r="K47" s="189"/>
      <c r="L47" s="189"/>
      <c r="M47" s="189"/>
      <c r="N47" s="189"/>
      <c r="O47" s="189"/>
      <c r="P47" s="189"/>
      <c r="Q47" s="335"/>
      <c r="R47" s="366"/>
      <c r="S47" s="8"/>
      <c r="T47" s="250"/>
      <c r="U47" s="250"/>
      <c r="V47" s="250"/>
    </row>
    <row r="48" spans="2:27" x14ac:dyDescent="0.2">
      <c r="B48" s="365"/>
      <c r="C48" s="310" t="s">
        <v>234</v>
      </c>
      <c r="D48" s="343"/>
      <c r="E48" s="343"/>
      <c r="F48" s="343"/>
      <c r="G48" s="343"/>
      <c r="H48" s="343"/>
      <c r="I48" s="344"/>
      <c r="J48" s="334" t="s">
        <v>234</v>
      </c>
      <c r="K48" s="189"/>
      <c r="L48" s="189"/>
      <c r="M48" s="189"/>
      <c r="N48" s="189"/>
      <c r="O48" s="189"/>
      <c r="P48" s="189"/>
      <c r="Q48" s="335"/>
      <c r="R48" s="366"/>
      <c r="S48" s="8"/>
      <c r="T48" s="250"/>
      <c r="U48" s="250"/>
      <c r="V48" s="250"/>
    </row>
    <row r="49" spans="2:22" x14ac:dyDescent="0.2">
      <c r="B49" s="365"/>
      <c r="C49" s="310"/>
      <c r="D49" s="343"/>
      <c r="E49" s="343"/>
      <c r="F49" s="343"/>
      <c r="G49" s="343"/>
      <c r="H49" s="343"/>
      <c r="I49" s="344"/>
      <c r="J49" s="334"/>
      <c r="K49" s="189"/>
      <c r="L49" s="189"/>
      <c r="M49" s="189"/>
      <c r="N49" s="189"/>
      <c r="O49" s="189"/>
      <c r="P49" s="189"/>
      <c r="Q49" s="335"/>
      <c r="R49" s="366"/>
      <c r="S49" s="8"/>
      <c r="T49" s="250"/>
      <c r="U49" s="250"/>
      <c r="V49" s="250"/>
    </row>
    <row r="50" spans="2:22" x14ac:dyDescent="0.2">
      <c r="B50" s="365"/>
      <c r="C50" s="310"/>
      <c r="D50" s="343" t="s">
        <v>236</v>
      </c>
      <c r="E50" s="343"/>
      <c r="F50" s="343"/>
      <c r="G50" s="393">
        <f>'Cooling Calculations'!$E$23</f>
        <v>10691.0141184</v>
      </c>
      <c r="H50" s="354" t="s">
        <v>240</v>
      </c>
      <c r="I50" s="359" t="s">
        <v>1</v>
      </c>
      <c r="J50" s="334"/>
      <c r="K50" s="189" t="s">
        <v>236</v>
      </c>
      <c r="L50" s="189"/>
      <c r="M50" s="189"/>
      <c r="N50" s="398">
        <f>'Cooling Calculations'!$E$45</f>
        <v>1450.6721460000001</v>
      </c>
      <c r="O50" s="336" t="s">
        <v>240</v>
      </c>
      <c r="P50" s="189"/>
      <c r="Q50" s="337" t="s">
        <v>1</v>
      </c>
      <c r="R50" s="366"/>
      <c r="S50" s="8"/>
      <c r="T50" s="250" t="s">
        <v>1</v>
      </c>
      <c r="U50" s="250"/>
      <c r="V50" s="250"/>
    </row>
    <row r="51" spans="2:22" x14ac:dyDescent="0.2">
      <c r="B51" s="365"/>
      <c r="C51" s="310"/>
      <c r="D51" s="343"/>
      <c r="E51" s="343"/>
      <c r="F51" s="343"/>
      <c r="G51" s="394" t="s">
        <v>1</v>
      </c>
      <c r="H51" s="354" t="s">
        <v>1</v>
      </c>
      <c r="I51" s="359"/>
      <c r="J51" s="334"/>
      <c r="K51" s="189"/>
      <c r="L51" s="189"/>
      <c r="M51" s="189"/>
      <c r="N51" s="399" t="s">
        <v>1</v>
      </c>
      <c r="O51" s="336" t="s">
        <v>1</v>
      </c>
      <c r="P51" s="189"/>
      <c r="Q51" s="337"/>
      <c r="R51" s="366"/>
      <c r="S51" s="8"/>
      <c r="T51" s="250"/>
      <c r="U51" s="355" t="s">
        <v>1</v>
      </c>
      <c r="V51" s="355" t="s">
        <v>1</v>
      </c>
    </row>
    <row r="52" spans="2:22" x14ac:dyDescent="0.2">
      <c r="B52" s="365"/>
      <c r="C52" s="310"/>
      <c r="D52" s="343" t="s">
        <v>235</v>
      </c>
      <c r="E52" s="343"/>
      <c r="F52" s="343"/>
      <c r="G52" s="393">
        <f>'Cooling Calculations'!$F$23</f>
        <v>5111.1981512413549</v>
      </c>
      <c r="H52" s="354" t="s">
        <v>240</v>
      </c>
      <c r="I52" s="359" t="s">
        <v>1</v>
      </c>
      <c r="J52" s="334"/>
      <c r="K52" s="189" t="s">
        <v>235</v>
      </c>
      <c r="L52" s="189"/>
      <c r="M52" s="189"/>
      <c r="N52" s="398">
        <f>'Cooling Calculations'!$F$45</f>
        <v>2555.5990756206775</v>
      </c>
      <c r="O52" s="336" t="s">
        <v>243</v>
      </c>
      <c r="P52" s="189"/>
      <c r="Q52" s="337" t="s">
        <v>1</v>
      </c>
      <c r="R52" s="366"/>
      <c r="S52" s="8"/>
      <c r="T52" s="250" t="s">
        <v>1</v>
      </c>
      <c r="U52" s="356" t="s">
        <v>1</v>
      </c>
      <c r="V52" s="357" t="s">
        <v>1</v>
      </c>
    </row>
    <row r="53" spans="2:22" x14ac:dyDescent="0.2">
      <c r="B53" s="365"/>
      <c r="C53" s="310"/>
      <c r="D53" s="343"/>
      <c r="E53" s="343"/>
      <c r="F53" s="343"/>
      <c r="G53" s="395"/>
      <c r="H53" s="343"/>
      <c r="I53" s="344"/>
      <c r="J53" s="334"/>
      <c r="K53" s="189"/>
      <c r="L53" s="189"/>
      <c r="M53" s="189"/>
      <c r="N53" s="400"/>
      <c r="O53" s="189"/>
      <c r="P53" s="189"/>
      <c r="Q53" s="335"/>
      <c r="R53" s="366"/>
      <c r="S53" s="8"/>
      <c r="T53" s="250"/>
      <c r="U53" s="250"/>
      <c r="V53" s="250"/>
    </row>
    <row r="54" spans="2:22" ht="18" x14ac:dyDescent="0.25">
      <c r="B54" s="365"/>
      <c r="C54" s="310"/>
      <c r="D54" s="343" t="s">
        <v>237</v>
      </c>
      <c r="E54" s="343"/>
      <c r="F54" s="343"/>
      <c r="G54" s="396" t="str">
        <f>IF((G50-G52&gt;0),"Cooling","")</f>
        <v>Cooling</v>
      </c>
      <c r="H54" s="413" t="str">
        <f>IF((G50-G52&lt;0),"Overheating","")</f>
        <v/>
      </c>
      <c r="I54" s="344"/>
      <c r="J54" s="334"/>
      <c r="K54" s="189" t="s">
        <v>237</v>
      </c>
      <c r="L54" s="189"/>
      <c r="M54" s="189"/>
      <c r="N54" s="401" t="str">
        <f>IF((N50-N52&gt;0),"Cooling","")</f>
        <v/>
      </c>
      <c r="O54" s="374" t="str">
        <f>IF((N50-N52&lt;0.001),"Overheating","")</f>
        <v>Overheating</v>
      </c>
      <c r="P54" s="189"/>
      <c r="Q54" s="335"/>
      <c r="R54" s="366"/>
      <c r="S54" s="8"/>
      <c r="T54" s="250"/>
      <c r="U54" s="250"/>
      <c r="V54" s="250"/>
    </row>
    <row r="55" spans="2:22" x14ac:dyDescent="0.2">
      <c r="B55" s="365"/>
      <c r="C55" s="310"/>
      <c r="D55" s="343"/>
      <c r="E55" s="343"/>
      <c r="F55" s="343"/>
      <c r="G55" s="395"/>
      <c r="H55" s="343"/>
      <c r="I55" s="344"/>
      <c r="J55" s="334"/>
      <c r="K55" s="189"/>
      <c r="L55" s="189"/>
      <c r="M55" s="189"/>
      <c r="N55" s="400"/>
      <c r="O55" s="189"/>
      <c r="P55" s="189"/>
      <c r="Q55" s="335"/>
      <c r="R55" s="366"/>
      <c r="S55" s="8"/>
      <c r="T55" s="250"/>
      <c r="U55" s="250"/>
      <c r="V55" s="250"/>
    </row>
    <row r="56" spans="2:22" ht="13.5" thickBot="1" x14ac:dyDescent="0.25">
      <c r="B56" s="365"/>
      <c r="C56" s="311"/>
      <c r="D56" s="345" t="s">
        <v>238</v>
      </c>
      <c r="E56" s="345"/>
      <c r="F56" s="345"/>
      <c r="G56" s="397">
        <f>(G50-G52)/G52</f>
        <v>1.0916845330685288</v>
      </c>
      <c r="H56" s="345"/>
      <c r="I56" s="346"/>
      <c r="J56" s="338"/>
      <c r="K56" s="339" t="s">
        <v>238</v>
      </c>
      <c r="L56" s="339"/>
      <c r="M56" s="339"/>
      <c r="N56" s="402">
        <f>(N50-N52)/N52</f>
        <v>-0.43235534875607362</v>
      </c>
      <c r="O56" s="339"/>
      <c r="P56" s="339"/>
      <c r="Q56" s="340"/>
      <c r="R56" s="366"/>
      <c r="S56" s="8"/>
      <c r="T56" s="250"/>
      <c r="U56" s="250"/>
      <c r="V56" s="250"/>
    </row>
    <row r="57" spans="2:22" ht="13.5" thickTop="1" x14ac:dyDescent="0.2">
      <c r="B57" s="365"/>
      <c r="C57" s="324"/>
      <c r="D57" s="324"/>
      <c r="E57" s="324"/>
      <c r="F57" s="324"/>
      <c r="G57" s="324"/>
      <c r="H57" s="324"/>
      <c r="I57" s="324"/>
      <c r="J57" s="324"/>
      <c r="K57" s="324"/>
      <c r="L57" s="324"/>
      <c r="M57" s="324"/>
      <c r="N57" s="324"/>
      <c r="O57" s="324"/>
      <c r="P57" s="362"/>
      <c r="Q57" s="315"/>
      <c r="R57" s="366"/>
    </row>
    <row r="58" spans="2:22" ht="13.5" thickBot="1" x14ac:dyDescent="0.25">
      <c r="B58" s="368"/>
      <c r="C58" s="372"/>
      <c r="D58" s="372"/>
      <c r="E58" s="372"/>
      <c r="F58" s="372"/>
      <c r="G58" s="372"/>
      <c r="H58" s="372"/>
      <c r="I58" s="372"/>
      <c r="J58" s="372"/>
      <c r="K58" s="372"/>
      <c r="L58" s="372"/>
      <c r="M58" s="372"/>
      <c r="N58" s="372"/>
      <c r="O58" s="372"/>
      <c r="P58" s="372"/>
      <c r="Q58" s="372"/>
      <c r="R58" s="371"/>
    </row>
    <row r="59" spans="2:22" ht="13.5" thickTop="1" x14ac:dyDescent="0.2">
      <c r="B59" s="277"/>
      <c r="P59" s="8"/>
    </row>
    <row r="60" spans="2:22" x14ac:dyDescent="0.2">
      <c r="B60" s="8"/>
      <c r="P60" s="8"/>
    </row>
    <row r="61" spans="2:22" x14ac:dyDescent="0.2">
      <c r="B61" s="8"/>
      <c r="P61" s="8"/>
    </row>
    <row r="62" spans="2:22" x14ac:dyDescent="0.2">
      <c r="B62" s="8"/>
      <c r="P62" s="8"/>
    </row>
    <row r="63" spans="2:22" x14ac:dyDescent="0.2">
      <c r="B63" s="8"/>
      <c r="C63" s="8"/>
      <c r="D63" s="8"/>
      <c r="E63" s="8"/>
      <c r="F63" s="8"/>
      <c r="G63" s="8"/>
      <c r="H63" s="8"/>
      <c r="I63" s="8"/>
      <c r="J63" s="8"/>
      <c r="K63" s="8"/>
      <c r="L63" s="8"/>
      <c r="M63" s="8"/>
      <c r="N63" s="8"/>
      <c r="O63" s="8"/>
      <c r="P63" s="8"/>
    </row>
    <row r="64" spans="2:22" x14ac:dyDescent="0.2">
      <c r="B64" s="8"/>
      <c r="P64" s="8"/>
    </row>
    <row r="65" spans="2:16" x14ac:dyDescent="0.2">
      <c r="B65" s="8"/>
      <c r="P65" s="8"/>
    </row>
    <row r="66" spans="2:16" x14ac:dyDescent="0.2">
      <c r="B66" s="8"/>
      <c r="P66" s="8"/>
    </row>
    <row r="67" spans="2:16" x14ac:dyDescent="0.2">
      <c r="B67" s="8"/>
      <c r="P67" s="8"/>
    </row>
    <row r="68" spans="2:16" x14ac:dyDescent="0.2">
      <c r="B68" s="8"/>
      <c r="P68" s="8"/>
    </row>
    <row r="69" spans="2:16" x14ac:dyDescent="0.2">
      <c r="B69" s="8"/>
      <c r="P69" s="8"/>
    </row>
    <row r="70" spans="2:16" x14ac:dyDescent="0.2">
      <c r="B70" s="8"/>
      <c r="P70" s="8"/>
    </row>
    <row r="71" spans="2:16" x14ac:dyDescent="0.2">
      <c r="B71" s="8"/>
      <c r="P71" s="8"/>
    </row>
    <row r="72" spans="2:16" x14ac:dyDescent="0.2">
      <c r="B72" s="8"/>
      <c r="P72" s="8"/>
    </row>
    <row r="73" spans="2:16" x14ac:dyDescent="0.2">
      <c r="B73" s="8"/>
      <c r="P73" s="8"/>
    </row>
    <row r="74" spans="2:16" x14ac:dyDescent="0.2">
      <c r="B74" s="8"/>
      <c r="P74" s="8"/>
    </row>
    <row r="75" spans="2:16" x14ac:dyDescent="0.2">
      <c r="B75" s="8"/>
      <c r="P75" s="8"/>
    </row>
    <row r="76" spans="2:16" x14ac:dyDescent="0.2">
      <c r="B76" s="8"/>
      <c r="P76" s="8"/>
    </row>
    <row r="77" spans="2:16" x14ac:dyDescent="0.2">
      <c r="B77" s="8"/>
      <c r="C77" s="8"/>
      <c r="D77" s="8"/>
      <c r="E77" s="8"/>
      <c r="F77" s="8"/>
      <c r="G77" s="8"/>
      <c r="H77" s="8"/>
      <c r="I77" s="8"/>
      <c r="J77" s="8"/>
      <c r="K77" s="8"/>
      <c r="L77" s="8"/>
      <c r="M77" s="8"/>
      <c r="N77" s="8"/>
      <c r="O77" s="8"/>
      <c r="P77" s="8"/>
    </row>
  </sheetData>
  <sheetProtection password="9F83" sheet="1" objects="1" scenarios="1"/>
  <mergeCells count="18">
    <mergeCell ref="C37:D38"/>
    <mergeCell ref="L10:L11"/>
    <mergeCell ref="P10:P11"/>
    <mergeCell ref="C10:H10"/>
    <mergeCell ref="C11:H11"/>
    <mergeCell ref="K10:K11"/>
    <mergeCell ref="M10:M11"/>
    <mergeCell ref="N10:N11"/>
    <mergeCell ref="O10:O11"/>
    <mergeCell ref="C17:I22"/>
    <mergeCell ref="S8:S11"/>
    <mergeCell ref="L7:L8"/>
    <mergeCell ref="Q10:Q11"/>
    <mergeCell ref="R8:R11"/>
    <mergeCell ref="C6:H6"/>
    <mergeCell ref="C7:H7"/>
    <mergeCell ref="C8:H8"/>
    <mergeCell ref="C9:H9"/>
  </mergeCells>
  <phoneticPr fontId="91"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N167"/>
  <sheetViews>
    <sheetView topLeftCell="A125" zoomScale="75" workbookViewId="0">
      <selection activeCell="F133" sqref="F133"/>
    </sheetView>
  </sheetViews>
  <sheetFormatPr defaultColWidth="10.28515625" defaultRowHeight="12.75" x14ac:dyDescent="0.2"/>
  <cols>
    <col min="1" max="1" width="13" style="124" customWidth="1"/>
    <col min="2" max="2" width="11.28515625" style="1" bestFit="1" customWidth="1"/>
    <col min="3" max="7" width="11.28515625" style="1" customWidth="1"/>
    <col min="8" max="8" width="9.28515625" style="1" customWidth="1"/>
    <col min="9" max="9" width="17.28515625" style="10" customWidth="1"/>
    <col min="10" max="10" width="22.28515625" style="1" customWidth="1"/>
    <col min="11" max="11" width="16.7109375" style="1" customWidth="1"/>
    <col min="12" max="12" width="14.140625" style="1" customWidth="1"/>
    <col min="13" max="13" width="15.140625" style="1" customWidth="1"/>
    <col min="14" max="14" width="14.85546875" customWidth="1"/>
    <col min="15" max="16" width="14.140625" customWidth="1"/>
    <col min="17" max="17" width="14" style="1" customWidth="1"/>
    <col min="18" max="18" width="20.7109375" style="1" customWidth="1"/>
    <col min="19" max="19" width="19.7109375" style="1" customWidth="1"/>
    <col min="20" max="20" width="14.85546875" style="1" customWidth="1"/>
    <col min="21" max="21" width="15.140625" style="1" customWidth="1"/>
    <col min="22" max="22" width="13.28515625" style="1" customWidth="1"/>
    <col min="23" max="24" width="14.85546875" style="1" customWidth="1"/>
    <col min="25" max="25" width="14.7109375" style="1" customWidth="1"/>
    <col min="26" max="26" width="11.42578125" style="1" customWidth="1"/>
    <col min="27" max="27" width="13.42578125" style="1" customWidth="1"/>
    <col min="28" max="28" width="15.140625" style="1" customWidth="1"/>
    <col min="29" max="29" width="12.85546875" style="1" customWidth="1"/>
    <col min="30" max="30" width="12.140625" style="1" customWidth="1"/>
    <col min="31" max="31" width="10.28515625" style="1" customWidth="1"/>
    <col min="32" max="32" width="38.42578125" style="1" customWidth="1"/>
    <col min="33" max="33" width="20.140625" style="1" customWidth="1"/>
    <col min="34" max="34" width="13.7109375" style="1" customWidth="1"/>
    <col min="35" max="35" width="14" style="1" customWidth="1"/>
    <col min="36" max="36" width="12.42578125" style="1" customWidth="1"/>
    <col min="37" max="37" width="12.28515625" style="1" customWidth="1"/>
    <col min="38" max="38" width="11.5703125" style="1" customWidth="1"/>
    <col min="39" max="39" width="12.42578125" style="1" customWidth="1"/>
    <col min="40" max="40" width="11.42578125" style="1" customWidth="1"/>
    <col min="41" max="41" width="11.7109375" style="1" customWidth="1"/>
    <col min="42" max="42" width="11.5703125" style="1" customWidth="1"/>
    <col min="43" max="43" width="11.85546875" style="1" customWidth="1"/>
    <col min="44" max="44" width="12.42578125" style="1" customWidth="1"/>
    <col min="45" max="45" width="12.28515625" style="1" customWidth="1"/>
    <col min="46" max="46" width="14.5703125" style="1" customWidth="1"/>
    <col min="47" max="16384" width="10.28515625" style="1"/>
  </cols>
  <sheetData>
    <row r="1" spans="2:28" ht="33.75" customHeight="1" thickBot="1" x14ac:dyDescent="0.4">
      <c r="B1" s="124"/>
      <c r="C1" s="621" t="s">
        <v>175</v>
      </c>
      <c r="D1" s="603"/>
      <c r="E1" s="603"/>
      <c r="F1" s="603"/>
      <c r="G1" s="603"/>
      <c r="H1" s="603"/>
      <c r="I1" s="603"/>
      <c r="J1" s="603"/>
      <c r="K1" s="603"/>
      <c r="L1" s="123"/>
      <c r="M1" s="123"/>
      <c r="N1" s="123"/>
      <c r="O1" s="123"/>
      <c r="P1" s="123"/>
      <c r="Q1" s="123"/>
      <c r="R1" s="123"/>
      <c r="S1" s="123"/>
      <c r="T1" s="123"/>
      <c r="U1" s="123"/>
      <c r="V1" s="123"/>
      <c r="W1"/>
      <c r="X1"/>
    </row>
    <row r="2" spans="2:28" ht="115.5" customHeight="1" thickTop="1" thickBot="1" x14ac:dyDescent="0.45">
      <c r="B2" s="124"/>
      <c r="C2" s="632" t="s">
        <v>176</v>
      </c>
      <c r="D2" s="593"/>
      <c r="E2" s="593"/>
      <c r="F2" s="593"/>
      <c r="G2" s="593"/>
      <c r="H2" s="593"/>
      <c r="I2" s="593"/>
      <c r="J2" s="593"/>
      <c r="K2" s="633"/>
      <c r="L2" s="137"/>
      <c r="M2" s="182"/>
      <c r="N2" s="183"/>
      <c r="O2" s="183"/>
      <c r="P2" s="634" t="s">
        <v>110</v>
      </c>
      <c r="Q2" s="635"/>
      <c r="R2" s="635"/>
      <c r="S2" s="183"/>
      <c r="T2" s="184"/>
      <c r="U2" s="123"/>
      <c r="V2" s="124"/>
      <c r="X2"/>
    </row>
    <row r="3" spans="2:28" ht="17.25" customHeight="1" thickTop="1" thickBot="1" x14ac:dyDescent="0.3">
      <c r="B3" s="230" t="s">
        <v>1</v>
      </c>
      <c r="C3" s="124"/>
      <c r="D3" s="638"/>
      <c r="E3" s="591"/>
      <c r="F3" s="591"/>
      <c r="G3" s="591"/>
      <c r="H3" s="591"/>
      <c r="I3" s="591"/>
      <c r="J3" s="576"/>
      <c r="K3" s="13"/>
      <c r="L3" s="124"/>
      <c r="M3" s="193"/>
      <c r="N3" s="254" t="s">
        <v>150</v>
      </c>
      <c r="O3" s="259">
        <f>J7</f>
        <v>13.5</v>
      </c>
      <c r="P3" s="255" t="s">
        <v>1</v>
      </c>
      <c r="Q3" s="258" t="s">
        <v>151</v>
      </c>
      <c r="R3" s="256">
        <f>J12</f>
        <v>90</v>
      </c>
      <c r="S3" s="123"/>
      <c r="T3" s="197"/>
      <c r="U3" s="123"/>
      <c r="V3" s="124"/>
      <c r="X3"/>
    </row>
    <row r="4" spans="2:28" ht="24.75" customHeight="1" thickTop="1" x14ac:dyDescent="0.35">
      <c r="B4" s="124"/>
      <c r="C4" s="598" t="s">
        <v>144</v>
      </c>
      <c r="D4" s="591"/>
      <c r="E4" s="591"/>
      <c r="F4" s="591"/>
      <c r="G4" s="591"/>
      <c r="H4" s="591"/>
      <c r="I4" s="591"/>
      <c r="J4" s="591"/>
      <c r="K4" s="13"/>
      <c r="L4" s="124"/>
      <c r="M4" s="194"/>
      <c r="N4" s="253" t="s">
        <v>152</v>
      </c>
      <c r="O4" s="260">
        <f>J11</f>
        <v>500</v>
      </c>
      <c r="P4" s="257" t="s">
        <v>1</v>
      </c>
      <c r="Q4" s="252" t="s">
        <v>341</v>
      </c>
      <c r="R4" s="451">
        <f>J10</f>
        <v>29</v>
      </c>
      <c r="S4" s="185"/>
      <c r="T4" s="196"/>
      <c r="U4" s="123"/>
      <c r="V4" s="124"/>
      <c r="X4"/>
    </row>
    <row r="5" spans="2:28" ht="18" x14ac:dyDescent="0.25">
      <c r="B5" s="124"/>
      <c r="C5" s="124"/>
      <c r="D5" s="145" t="s">
        <v>127</v>
      </c>
      <c r="E5" s="124"/>
      <c r="F5" s="124"/>
      <c r="G5" s="124"/>
      <c r="H5" s="124"/>
      <c r="I5" s="123"/>
      <c r="J5" s="123"/>
      <c r="K5" s="123"/>
      <c r="L5" s="124"/>
      <c r="M5" s="194"/>
      <c r="N5" s="267" t="s">
        <v>171</v>
      </c>
      <c r="O5" s="268">
        <f>'Power and Cooling'!$I$14</f>
        <v>2.85</v>
      </c>
      <c r="P5" s="176"/>
      <c r="Q5" s="186" t="s">
        <v>115</v>
      </c>
      <c r="R5" s="187"/>
      <c r="S5" s="188"/>
      <c r="T5" s="196"/>
      <c r="U5" s="123"/>
      <c r="V5" s="124"/>
      <c r="W5"/>
      <c r="X5"/>
      <c r="Y5"/>
      <c r="Z5"/>
      <c r="AA5"/>
      <c r="AB5"/>
    </row>
    <row r="6" spans="2:28" ht="33.75" thickBot="1" x14ac:dyDescent="0.4">
      <c r="B6" s="134" t="s">
        <v>112</v>
      </c>
      <c r="C6" s="170"/>
      <c r="D6" s="643" t="s">
        <v>113</v>
      </c>
      <c r="E6" s="591"/>
      <c r="F6" s="591"/>
      <c r="G6" s="591"/>
      <c r="H6" s="591"/>
      <c r="I6" s="591"/>
      <c r="J6" s="120" t="s">
        <v>99</v>
      </c>
      <c r="K6" s="54"/>
      <c r="L6" s="124"/>
      <c r="M6" s="194"/>
      <c r="N6" s="640" t="s">
        <v>153</v>
      </c>
      <c r="O6" s="251"/>
      <c r="P6" s="189"/>
      <c r="Q6" s="189"/>
      <c r="R6" s="571" t="s">
        <v>118</v>
      </c>
      <c r="S6" s="599" t="s">
        <v>180</v>
      </c>
      <c r="T6" s="196"/>
      <c r="U6" s="123"/>
      <c r="V6" s="124"/>
      <c r="W6"/>
      <c r="X6"/>
      <c r="Y6"/>
      <c r="Z6"/>
      <c r="AA6"/>
      <c r="AB6"/>
    </row>
    <row r="7" spans="2:28" ht="35.25" customHeight="1" thickTop="1" thickBot="1" x14ac:dyDescent="0.3">
      <c r="B7" s="135">
        <v>13.5</v>
      </c>
      <c r="C7" s="171"/>
      <c r="D7" s="636" t="s">
        <v>128</v>
      </c>
      <c r="E7" s="591"/>
      <c r="F7" s="591"/>
      <c r="G7" s="591"/>
      <c r="H7" s="591"/>
      <c r="I7" s="637"/>
      <c r="J7" s="15">
        <f>'Power and Cooling'!$I$6</f>
        <v>13.5</v>
      </c>
      <c r="K7" s="54"/>
      <c r="L7" s="124"/>
      <c r="M7" s="194"/>
      <c r="N7" s="641"/>
      <c r="O7" s="190" t="s">
        <v>85</v>
      </c>
      <c r="P7" s="191" t="s">
        <v>178</v>
      </c>
      <c r="Q7" s="192" t="s">
        <v>89</v>
      </c>
      <c r="R7" s="639"/>
      <c r="S7" s="600"/>
      <c r="T7" s="196"/>
      <c r="U7" s="123"/>
      <c r="V7" s="124"/>
      <c r="W7"/>
      <c r="X7"/>
      <c r="Y7"/>
      <c r="Z7"/>
      <c r="AA7"/>
      <c r="AB7"/>
    </row>
    <row r="8" spans="2:28" ht="21" thickTop="1" x14ac:dyDescent="0.4">
      <c r="B8" s="136">
        <v>4000</v>
      </c>
      <c r="C8" s="161"/>
      <c r="D8" s="636" t="s">
        <v>61</v>
      </c>
      <c r="E8" s="591"/>
      <c r="F8" s="591"/>
      <c r="G8" s="591"/>
      <c r="H8" s="591"/>
      <c r="I8" s="637"/>
      <c r="J8" s="16">
        <f>'Power and Cooling'!I7</f>
        <v>6800</v>
      </c>
      <c r="K8" s="54"/>
      <c r="L8" s="124"/>
      <c r="M8" s="194"/>
      <c r="N8" s="222"/>
      <c r="O8" s="222"/>
      <c r="P8" s="222"/>
      <c r="Q8" s="222"/>
      <c r="R8" s="222"/>
      <c r="S8" s="223"/>
      <c r="T8" s="196"/>
      <c r="U8" s="123"/>
      <c r="V8" s="124"/>
      <c r="W8"/>
      <c r="X8"/>
      <c r="Y8"/>
      <c r="Z8"/>
      <c r="AA8"/>
      <c r="AB8"/>
    </row>
    <row r="9" spans="2:28" ht="20.25" x14ac:dyDescent="0.4">
      <c r="B9" s="136">
        <v>250</v>
      </c>
      <c r="C9" s="161"/>
      <c r="D9" s="636" t="s">
        <v>62</v>
      </c>
      <c r="E9" s="591"/>
      <c r="F9" s="591"/>
      <c r="G9" s="591"/>
      <c r="H9" s="591"/>
      <c r="I9" s="637"/>
      <c r="J9" s="16">
        <f>'Power and Cooling'!I8</f>
        <v>500</v>
      </c>
      <c r="K9" s="54"/>
      <c r="L9" s="124"/>
      <c r="M9" s="194"/>
      <c r="N9" s="224">
        <f>$Q$90</f>
        <v>6800</v>
      </c>
      <c r="O9" s="224">
        <f>N9/$O$5</f>
        <v>2385.9649122807018</v>
      </c>
      <c r="P9" s="224">
        <f>$Q$102</f>
        <v>166.84666412583664</v>
      </c>
      <c r="Q9" s="225">
        <f>$Q$96</f>
        <v>15.519832443040553</v>
      </c>
      <c r="R9" s="224">
        <f>$Q$108</f>
        <v>5111.1981512413549</v>
      </c>
      <c r="S9" s="226">
        <f>$Q$109</f>
        <v>2555.5990756206775</v>
      </c>
      <c r="T9" s="196" t="s">
        <v>1</v>
      </c>
      <c r="U9" s="123"/>
      <c r="V9" s="124"/>
      <c r="W9"/>
      <c r="X9"/>
      <c r="Y9"/>
      <c r="Z9"/>
      <c r="AA9"/>
      <c r="AB9"/>
    </row>
    <row r="10" spans="2:28" ht="20.25" x14ac:dyDescent="0.4">
      <c r="B10" s="136">
        <v>100</v>
      </c>
      <c r="C10" s="161"/>
      <c r="D10" s="636" t="s">
        <v>70</v>
      </c>
      <c r="E10" s="591"/>
      <c r="F10" s="591"/>
      <c r="G10" s="591"/>
      <c r="H10" s="591"/>
      <c r="I10" s="637"/>
      <c r="J10" s="17">
        <f>'Power and Cooling'!I9</f>
        <v>29</v>
      </c>
      <c r="K10" s="54"/>
      <c r="L10" s="124"/>
      <c r="M10" s="194"/>
      <c r="N10" s="224">
        <f>$R$90</f>
        <v>7300</v>
      </c>
      <c r="O10" s="224">
        <f t="shared" ref="O10:O22" si="0">N10/$O$5</f>
        <v>2561.4035087719299</v>
      </c>
      <c r="P10" s="224">
        <f>$R$102</f>
        <v>179.11480119391288</v>
      </c>
      <c r="Q10" s="225">
        <f>$R$96</f>
        <v>16.66099659326412</v>
      </c>
      <c r="R10" s="224">
        <f>$R$108</f>
        <v>5487.0215447149831</v>
      </c>
      <c r="S10" s="226">
        <f>$R$109</f>
        <v>2743.5107723574915</v>
      </c>
      <c r="T10" s="196"/>
      <c r="U10" s="123"/>
      <c r="V10" s="124"/>
      <c r="X10"/>
    </row>
    <row r="11" spans="2:28" ht="20.25" x14ac:dyDescent="0.4">
      <c r="B11" s="136">
        <v>0</v>
      </c>
      <c r="C11" s="161"/>
      <c r="D11" s="636" t="s">
        <v>172</v>
      </c>
      <c r="E11" s="591"/>
      <c r="F11" s="591"/>
      <c r="G11" s="591"/>
      <c r="H11" s="591"/>
      <c r="I11" s="637"/>
      <c r="J11" s="16">
        <f>'Power and Cooling'!$E$36</f>
        <v>500</v>
      </c>
      <c r="K11" s="54"/>
      <c r="L11" s="124"/>
      <c r="M11" s="194"/>
      <c r="N11" s="224">
        <f>$S$90</f>
        <v>7800</v>
      </c>
      <c r="O11" s="224">
        <f t="shared" si="0"/>
        <v>2736.8421052631579</v>
      </c>
      <c r="P11" s="224">
        <f>$S$102</f>
        <v>191.38293826198918</v>
      </c>
      <c r="Q11" s="225">
        <f>$S$96</f>
        <v>17.802160743487693</v>
      </c>
      <c r="R11" s="224">
        <f>$S$108</f>
        <v>5862.8449381886139</v>
      </c>
      <c r="S11" s="226">
        <f>$S$109</f>
        <v>2931.422469094307</v>
      </c>
      <c r="T11" s="196"/>
      <c r="U11" s="123"/>
      <c r="V11" s="124"/>
      <c r="X11"/>
    </row>
    <row r="12" spans="2:28" ht="19.5" customHeight="1" x14ac:dyDescent="0.4">
      <c r="B12" s="136">
        <v>60</v>
      </c>
      <c r="C12" s="161"/>
      <c r="D12" s="647" t="s">
        <v>105</v>
      </c>
      <c r="E12" s="591"/>
      <c r="F12" s="591"/>
      <c r="G12" s="591"/>
      <c r="H12" s="591"/>
      <c r="I12" s="637"/>
      <c r="J12" s="266">
        <f>'Power and Cooling'!$I$10</f>
        <v>90</v>
      </c>
      <c r="K12" s="54"/>
      <c r="L12" s="124"/>
      <c r="M12" s="194"/>
      <c r="N12" s="224">
        <f>$T$90</f>
        <v>8300</v>
      </c>
      <c r="O12" s="224">
        <f t="shared" si="0"/>
        <v>2912.280701754386</v>
      </c>
      <c r="P12" s="224">
        <f>$T$102</f>
        <v>203.65107533006531</v>
      </c>
      <c r="Q12" s="225">
        <f>$T$96</f>
        <v>18.94332489371126</v>
      </c>
      <c r="R12" s="224">
        <f>$T$108</f>
        <v>6238.6683316622402</v>
      </c>
      <c r="S12" s="226">
        <f>$T$109</f>
        <v>3119.3341658311201</v>
      </c>
      <c r="T12" s="196"/>
      <c r="U12" s="123"/>
      <c r="V12" s="124"/>
      <c r="X12" s="110"/>
    </row>
    <row r="13" spans="2:28" ht="21" thickBot="1" x14ac:dyDescent="0.45">
      <c r="B13" s="124">
        <v>0</v>
      </c>
      <c r="C13" s="54"/>
      <c r="D13" s="265" t="s">
        <v>174</v>
      </c>
      <c r="E13" s="28"/>
      <c r="F13" s="28"/>
      <c r="G13" s="28"/>
      <c r="H13" s="28"/>
      <c r="I13" s="176"/>
      <c r="J13" s="269">
        <v>0</v>
      </c>
      <c r="K13" s="14">
        <f>LOOKUP(J12,K136:K153,M136:M153)</f>
        <v>1.061607142857143</v>
      </c>
      <c r="L13" s="124"/>
      <c r="M13" s="194"/>
      <c r="N13" s="224">
        <f>$U$90</f>
        <v>8800</v>
      </c>
      <c r="O13" s="224">
        <f t="shared" si="0"/>
        <v>3087.719298245614</v>
      </c>
      <c r="P13" s="224">
        <f>$U$102</f>
        <v>215.91921239814155</v>
      </c>
      <c r="Q13" s="225">
        <f>$U$96</f>
        <v>20.08448904393483</v>
      </c>
      <c r="R13" s="224">
        <f>$U$108</f>
        <v>6614.4917251358711</v>
      </c>
      <c r="S13" s="226">
        <f>$U$109</f>
        <v>3307.2458625679355</v>
      </c>
      <c r="T13" s="196"/>
      <c r="U13" s="123"/>
      <c r="V13" s="124"/>
      <c r="X13"/>
    </row>
    <row r="14" spans="2:28" ht="20.25" thickTop="1" x14ac:dyDescent="0.4">
      <c r="B14" s="124"/>
      <c r="C14" s="54"/>
      <c r="D14" s="54"/>
      <c r="E14" s="54"/>
      <c r="F14" s="54"/>
      <c r="G14" s="54"/>
      <c r="H14" s="54"/>
      <c r="I14" s="12"/>
      <c r="J14" s="12"/>
      <c r="K14" s="12"/>
      <c r="L14" s="123"/>
      <c r="M14" s="194"/>
      <c r="N14" s="224">
        <f>$V$90</f>
        <v>9300</v>
      </c>
      <c r="O14" s="224">
        <f t="shared" si="0"/>
        <v>3263.1578947368421</v>
      </c>
      <c r="P14" s="224">
        <f>$V$102</f>
        <v>228.18734946621774</v>
      </c>
      <c r="Q14" s="225">
        <f>$V$96</f>
        <v>21.225653194158401</v>
      </c>
      <c r="R14" s="224">
        <f>$V$108</f>
        <v>6990.3151186094983</v>
      </c>
      <c r="S14" s="226">
        <f>$V$109</f>
        <v>3495.1575593047492</v>
      </c>
      <c r="T14" s="196"/>
      <c r="U14" s="123"/>
      <c r="V14" s="124"/>
      <c r="X14"/>
    </row>
    <row r="15" spans="2:28" ht="19.5" x14ac:dyDescent="0.4">
      <c r="B15" s="124"/>
      <c r="C15" s="124"/>
      <c r="D15" s="272" t="s">
        <v>55</v>
      </c>
      <c r="E15" s="124"/>
      <c r="F15" s="124"/>
      <c r="G15" s="124"/>
      <c r="H15" s="124"/>
      <c r="I15" s="123"/>
      <c r="J15" s="123"/>
      <c r="K15" s="123"/>
      <c r="L15" s="123"/>
      <c r="M15" s="194"/>
      <c r="N15" s="224">
        <f>$W$90</f>
        <v>9800</v>
      </c>
      <c r="O15" s="224">
        <f t="shared" si="0"/>
        <v>3438.5964912280701</v>
      </c>
      <c r="P15" s="224">
        <f>$W$102</f>
        <v>240.45548653429401</v>
      </c>
      <c r="Q15" s="225">
        <f>$W$96</f>
        <v>22.366817344381975</v>
      </c>
      <c r="R15" s="224">
        <f>$W$108</f>
        <v>7366.1385120831292</v>
      </c>
      <c r="S15" s="226">
        <f>$W$109</f>
        <v>3683.0692560415646</v>
      </c>
      <c r="T15" s="196"/>
      <c r="U15" s="123"/>
      <c r="V15" s="124"/>
      <c r="X15"/>
    </row>
    <row r="16" spans="2:28" ht="19.5" x14ac:dyDescent="0.4">
      <c r="B16" s="124"/>
      <c r="C16" s="124"/>
      <c r="D16" s="272" t="s">
        <v>100</v>
      </c>
      <c r="E16" s="124"/>
      <c r="F16" s="124"/>
      <c r="G16" s="124"/>
      <c r="H16" s="124"/>
      <c r="I16" s="123"/>
      <c r="J16" s="123"/>
      <c r="K16" s="123"/>
      <c r="L16" s="123"/>
      <c r="M16" s="194"/>
      <c r="N16" s="224">
        <f>$X$90</f>
        <v>10300</v>
      </c>
      <c r="O16" s="224">
        <f t="shared" si="0"/>
        <v>3614.0350877192982</v>
      </c>
      <c r="P16" s="224">
        <f>$X$102</f>
        <v>252.72362360237034</v>
      </c>
      <c r="Q16" s="225">
        <f>$X$96</f>
        <v>23.507981494605541</v>
      </c>
      <c r="R16" s="224">
        <f>$X$108</f>
        <v>7741.9619055567609</v>
      </c>
      <c r="S16" s="226">
        <f>$X$109</f>
        <v>3870.9809527783805</v>
      </c>
      <c r="T16" s="196"/>
      <c r="U16" s="123"/>
      <c r="V16" s="124"/>
      <c r="X16"/>
    </row>
    <row r="17" spans="2:24" ht="19.5" x14ac:dyDescent="0.4">
      <c r="B17" s="124"/>
      <c r="C17" s="124"/>
      <c r="D17" s="272" t="s">
        <v>101</v>
      </c>
      <c r="E17" s="124"/>
      <c r="F17" s="124"/>
      <c r="G17" s="124"/>
      <c r="H17" s="124"/>
      <c r="I17" s="138"/>
      <c r="J17" s="123"/>
      <c r="K17" s="123"/>
      <c r="L17" s="123"/>
      <c r="M17" s="194"/>
      <c r="N17" s="224">
        <f>$Y$90</f>
        <v>10800</v>
      </c>
      <c r="O17" s="224">
        <f t="shared" si="0"/>
        <v>3789.4736842105262</v>
      </c>
      <c r="P17" s="224">
        <f>$Y$102</f>
        <v>264.99176067044647</v>
      </c>
      <c r="Q17" s="225">
        <f>$Y$96</f>
        <v>24.649145644829112</v>
      </c>
      <c r="R17" s="224">
        <f>$Y$108</f>
        <v>8117.7852990303873</v>
      </c>
      <c r="S17" s="226">
        <f>$Y$109</f>
        <v>4058.8926495151936</v>
      </c>
      <c r="T17" s="196" t="s">
        <v>1</v>
      </c>
      <c r="U17" s="123"/>
      <c r="V17" s="124"/>
      <c r="X17"/>
    </row>
    <row r="18" spans="2:24" ht="19.5" x14ac:dyDescent="0.4">
      <c r="B18" s="124"/>
      <c r="C18" s="124"/>
      <c r="D18" s="272" t="s">
        <v>102</v>
      </c>
      <c r="E18" s="124"/>
      <c r="F18" s="124"/>
      <c r="G18" s="124"/>
      <c r="H18" s="124"/>
      <c r="I18" s="138"/>
      <c r="J18" s="123"/>
      <c r="K18" s="123"/>
      <c r="L18" s="123"/>
      <c r="M18" s="194"/>
      <c r="N18" s="224">
        <f>$Z$90</f>
        <v>11300</v>
      </c>
      <c r="O18" s="224">
        <f t="shared" si="0"/>
        <v>3964.9122807017543</v>
      </c>
      <c r="P18" s="224">
        <f>$Z$102</f>
        <v>277.25989773852274</v>
      </c>
      <c r="Q18" s="225">
        <f>$Z$96</f>
        <v>25.790309795052679</v>
      </c>
      <c r="R18" s="224">
        <f>$Z$108</f>
        <v>8493.6086925040163</v>
      </c>
      <c r="S18" s="226">
        <f>$Z$109</f>
        <v>4246.8043462520081</v>
      </c>
      <c r="T18" s="196"/>
      <c r="U18" s="123"/>
      <c r="V18" s="124"/>
      <c r="X18"/>
    </row>
    <row r="19" spans="2:24" ht="19.5" x14ac:dyDescent="0.4">
      <c r="B19" s="124"/>
      <c r="C19" s="124"/>
      <c r="D19" s="272" t="s">
        <v>155</v>
      </c>
      <c r="E19" s="124"/>
      <c r="F19" s="124"/>
      <c r="G19" s="124"/>
      <c r="H19" s="124"/>
      <c r="I19" s="138"/>
      <c r="J19" s="123"/>
      <c r="K19" s="123"/>
      <c r="L19" s="123"/>
      <c r="M19" s="194"/>
      <c r="N19" s="224">
        <f>$AA$90</f>
        <v>11800</v>
      </c>
      <c r="O19" s="224">
        <f t="shared" si="0"/>
        <v>4140.3508771929819</v>
      </c>
      <c r="P19" s="224">
        <f>$AA$102</f>
        <v>289.5280348065989</v>
      </c>
      <c r="Q19" s="225">
        <f>$AA$96</f>
        <v>26.931473945276252</v>
      </c>
      <c r="R19" s="224">
        <f>$AA$108</f>
        <v>8869.4320859776453</v>
      </c>
      <c r="S19" s="226">
        <f>$AA$109</f>
        <v>4434.7160429888227</v>
      </c>
      <c r="T19" s="196"/>
      <c r="U19" s="123"/>
      <c r="V19" s="124"/>
      <c r="X19"/>
    </row>
    <row r="20" spans="2:24" ht="19.5" x14ac:dyDescent="0.4">
      <c r="B20" s="124"/>
      <c r="C20" s="124"/>
      <c r="D20" s="272" t="s">
        <v>103</v>
      </c>
      <c r="E20" s="124"/>
      <c r="F20" s="124"/>
      <c r="G20" s="124"/>
      <c r="H20" s="124"/>
      <c r="I20" s="138"/>
      <c r="J20" s="123"/>
      <c r="K20" s="123"/>
      <c r="L20" s="123"/>
      <c r="M20" s="194"/>
      <c r="N20" s="224">
        <f>$AB$90</f>
        <v>12300</v>
      </c>
      <c r="O20" s="224">
        <f t="shared" si="0"/>
        <v>4315.78947368421</v>
      </c>
      <c r="P20" s="224">
        <f>$AB$102</f>
        <v>301.79617187467522</v>
      </c>
      <c r="Q20" s="225">
        <f>$AB$96</f>
        <v>28.072638095499826</v>
      </c>
      <c r="R20" s="224">
        <f>$AB$108</f>
        <v>9245.2554794512762</v>
      </c>
      <c r="S20" s="226">
        <f>$AB$109</f>
        <v>4622.6277397256381</v>
      </c>
      <c r="T20" s="196"/>
      <c r="U20" s="123"/>
      <c r="V20" s="124"/>
      <c r="X20"/>
    </row>
    <row r="21" spans="2:24" ht="19.5" x14ac:dyDescent="0.4">
      <c r="B21" s="124"/>
      <c r="C21" s="124"/>
      <c r="D21" s="272" t="s">
        <v>177</v>
      </c>
      <c r="E21" s="124"/>
      <c r="F21" s="124"/>
      <c r="G21" s="124"/>
      <c r="H21" s="124"/>
      <c r="I21" s="138"/>
      <c r="J21" s="123"/>
      <c r="K21" s="123"/>
      <c r="L21" s="123"/>
      <c r="M21" s="194"/>
      <c r="N21" s="224">
        <f>$AC$90</f>
        <v>12800</v>
      </c>
      <c r="O21" s="224">
        <f t="shared" si="0"/>
        <v>4491.228070175438</v>
      </c>
      <c r="P21" s="224">
        <f>$AC$102</f>
        <v>314.06430894275132</v>
      </c>
      <c r="Q21" s="225">
        <f>$AC$96</f>
        <v>29.213802245723386</v>
      </c>
      <c r="R21" s="224">
        <f>$AC$108</f>
        <v>9621.0788729249034</v>
      </c>
      <c r="S21" s="226">
        <f>$AC$109</f>
        <v>4810.5394364624517</v>
      </c>
      <c r="T21" s="196"/>
      <c r="U21" s="123"/>
      <c r="V21" s="124"/>
      <c r="X21"/>
    </row>
    <row r="22" spans="2:24" ht="20.25" thickBot="1" x14ac:dyDescent="0.45">
      <c r="B22" s="124"/>
      <c r="C22" s="124"/>
      <c r="D22" s="123"/>
      <c r="E22" s="123"/>
      <c r="F22" s="124"/>
      <c r="G22" s="124"/>
      <c r="H22" s="124"/>
      <c r="I22" s="138"/>
      <c r="J22" s="123"/>
      <c r="K22" s="123"/>
      <c r="L22" s="123"/>
      <c r="M22" s="194"/>
      <c r="N22" s="227">
        <f>$AD$90</f>
        <v>13300</v>
      </c>
      <c r="O22" s="224">
        <f t="shared" si="0"/>
        <v>4666.666666666667</v>
      </c>
      <c r="P22" s="227">
        <f>$AD$102</f>
        <v>326.3324460108276</v>
      </c>
      <c r="Q22" s="228">
        <f>$AD$96</f>
        <v>30.35496639594696</v>
      </c>
      <c r="R22" s="227">
        <f>$AD$108</f>
        <v>9996.9022663985324</v>
      </c>
      <c r="S22" s="229">
        <f>$AD$109</f>
        <v>4998.4511331992662</v>
      </c>
      <c r="T22" s="196"/>
      <c r="U22" s="123"/>
      <c r="V22" s="124"/>
      <c r="X22"/>
    </row>
    <row r="23" spans="2:24" ht="18.75" thickTop="1" x14ac:dyDescent="0.25">
      <c r="B23" s="124"/>
      <c r="C23" s="124"/>
      <c r="D23" s="242" t="s">
        <v>117</v>
      </c>
      <c r="E23" s="128"/>
      <c r="F23" s="124"/>
      <c r="G23" s="124"/>
      <c r="H23" s="124"/>
      <c r="I23" s="123"/>
      <c r="J23" s="123"/>
      <c r="K23" s="123"/>
      <c r="L23" s="123"/>
      <c r="M23" s="193"/>
      <c r="N23" s="12"/>
      <c r="O23" s="12"/>
      <c r="P23" s="12"/>
      <c r="Q23" s="12"/>
      <c r="R23" s="12"/>
      <c r="S23" s="12"/>
      <c r="T23" s="196"/>
      <c r="U23" s="123"/>
      <c r="V23" s="124"/>
      <c r="X23"/>
    </row>
    <row r="24" spans="2:24" ht="15.75" x14ac:dyDescent="0.25">
      <c r="B24" s="124"/>
      <c r="C24" s="124"/>
      <c r="D24" s="608" t="s">
        <v>108</v>
      </c>
      <c r="E24" s="609"/>
      <c r="F24" s="124"/>
      <c r="G24" s="124"/>
      <c r="H24" s="124"/>
      <c r="I24" s="177" t="s">
        <v>1</v>
      </c>
      <c r="J24" s="123"/>
      <c r="K24" s="123" t="s">
        <v>1</v>
      </c>
      <c r="L24" s="123"/>
      <c r="M24" s="193"/>
      <c r="N24" s="12"/>
      <c r="O24" s="12"/>
      <c r="P24" s="12"/>
      <c r="Q24" s="12"/>
      <c r="R24" s="12"/>
      <c r="S24" s="12"/>
      <c r="T24" s="196"/>
      <c r="U24" s="123"/>
      <c r="V24" s="124"/>
      <c r="X24"/>
    </row>
    <row r="25" spans="2:24" ht="15" x14ac:dyDescent="0.2">
      <c r="B25" s="124"/>
      <c r="C25" s="124"/>
      <c r="D25" s="648" t="s">
        <v>107</v>
      </c>
      <c r="E25" s="649"/>
      <c r="F25" s="124"/>
      <c r="G25" s="124"/>
      <c r="H25" s="124"/>
      <c r="I25" s="138"/>
      <c r="J25" s="123"/>
      <c r="K25" s="123"/>
      <c r="L25" s="123"/>
      <c r="M25" s="193"/>
      <c r="N25" s="12"/>
      <c r="O25" s="12"/>
      <c r="P25" s="12"/>
      <c r="Q25" s="12"/>
      <c r="R25" s="12"/>
      <c r="S25" s="12"/>
      <c r="T25" s="196"/>
      <c r="U25" s="123"/>
      <c r="V25" s="124"/>
      <c r="X25"/>
    </row>
    <row r="26" spans="2:24" ht="15.75" thickBot="1" x14ac:dyDescent="0.25">
      <c r="B26" s="124"/>
      <c r="C26" s="124"/>
      <c r="D26" s="610" t="s">
        <v>109</v>
      </c>
      <c r="E26" s="609"/>
      <c r="F26" s="124"/>
      <c r="G26" s="124"/>
      <c r="H26" s="124"/>
      <c r="I26" s="138"/>
      <c r="J26" s="123"/>
      <c r="K26" s="123"/>
      <c r="L26" s="123"/>
      <c r="M26" s="193"/>
      <c r="N26" s="12"/>
      <c r="O26" s="12"/>
      <c r="P26" s="12"/>
      <c r="Q26" s="12"/>
      <c r="R26" s="12"/>
      <c r="S26" s="12"/>
      <c r="T26" s="196"/>
      <c r="U26" s="123"/>
      <c r="V26" s="124"/>
      <c r="X26"/>
    </row>
    <row r="27" spans="2:24" ht="26.25" thickTop="1" x14ac:dyDescent="0.35">
      <c r="B27" s="124"/>
      <c r="C27" s="124"/>
      <c r="D27" s="610" t="s">
        <v>116</v>
      </c>
      <c r="E27" s="611"/>
      <c r="F27" s="124"/>
      <c r="G27" s="124"/>
      <c r="H27" s="124"/>
      <c r="I27" s="138"/>
      <c r="J27" s="123"/>
      <c r="K27" s="123"/>
      <c r="L27" s="123"/>
      <c r="M27" s="195"/>
      <c r="N27" s="202"/>
      <c r="O27" s="202"/>
      <c r="P27" s="203"/>
      <c r="Q27" s="204" t="s">
        <v>104</v>
      </c>
      <c r="R27" s="204"/>
      <c r="S27" s="203"/>
      <c r="T27" s="208"/>
      <c r="U27" s="123"/>
      <c r="V27" s="124"/>
      <c r="X27"/>
    </row>
    <row r="28" spans="2:24" ht="14.25" customHeight="1" thickBot="1" x14ac:dyDescent="0.3">
      <c r="B28" s="124"/>
      <c r="C28" s="124"/>
      <c r="D28" s="129"/>
      <c r="E28" s="130"/>
      <c r="F28" s="124"/>
      <c r="G28" s="124"/>
      <c r="H28" s="124"/>
      <c r="I28" s="123"/>
      <c r="J28" s="123"/>
      <c r="K28" s="123"/>
      <c r="L28" s="123"/>
      <c r="M28" s="195"/>
      <c r="N28" s="205"/>
      <c r="O28" s="205"/>
      <c r="P28" s="206" t="s">
        <v>1</v>
      </c>
      <c r="Q28" s="207"/>
      <c r="R28" s="122">
        <f>$J$11</f>
        <v>500</v>
      </c>
      <c r="S28" s="205"/>
      <c r="T28" s="209"/>
      <c r="U28" s="123"/>
      <c r="V28" s="124"/>
      <c r="X28"/>
    </row>
    <row r="29" spans="2:24" ht="54.75" thickTop="1" x14ac:dyDescent="0.25">
      <c r="B29" s="124"/>
      <c r="C29" s="124"/>
      <c r="D29" s="129"/>
      <c r="E29" s="130"/>
      <c r="F29" s="124"/>
      <c r="G29" s="124"/>
      <c r="H29" s="124"/>
      <c r="I29" s="123"/>
      <c r="J29" s="123"/>
      <c r="K29" s="123"/>
      <c r="L29" s="123"/>
      <c r="M29" s="195"/>
      <c r="N29" s="125" t="s">
        <v>81</v>
      </c>
      <c r="O29" s="125"/>
      <c r="P29" s="180">
        <v>180</v>
      </c>
      <c r="Q29" s="112" t="s">
        <v>67</v>
      </c>
      <c r="R29" s="111">
        <f>$J$12</f>
        <v>90</v>
      </c>
      <c r="S29" s="113" t="s">
        <v>98</v>
      </c>
      <c r="T29" s="181">
        <v>6400</v>
      </c>
      <c r="U29" s="123"/>
      <c r="V29" s="124"/>
      <c r="X29"/>
    </row>
    <row r="30" spans="2:24" ht="18.75" thickBot="1" x14ac:dyDescent="0.3">
      <c r="B30" s="124"/>
      <c r="C30" s="124"/>
      <c r="D30" s="129"/>
      <c r="E30" s="130"/>
      <c r="F30" s="124"/>
      <c r="G30" s="124"/>
      <c r="H30" s="124"/>
      <c r="I30" s="123"/>
      <c r="J30" s="123"/>
      <c r="K30" s="123"/>
      <c r="L30" s="123"/>
      <c r="M30" s="195"/>
      <c r="N30" s="115" t="s">
        <v>78</v>
      </c>
      <c r="O30" s="115"/>
      <c r="P30" s="114">
        <f>$J$7</f>
        <v>13.5</v>
      </c>
      <c r="Q30" s="115" t="s">
        <v>79</v>
      </c>
      <c r="R30" s="116" t="str">
        <f>IF(R28=0,"Sea Level","8000 Ft")</f>
        <v>8000 Ft</v>
      </c>
      <c r="S30" s="115" t="s">
        <v>80</v>
      </c>
      <c r="T30" s="126">
        <f>$J$10</f>
        <v>29</v>
      </c>
      <c r="U30" s="123"/>
      <c r="V30" s="124"/>
      <c r="X30"/>
    </row>
    <row r="31" spans="2:24" ht="37.5" thickTop="1" thickBot="1" x14ac:dyDescent="0.3">
      <c r="B31" s="124"/>
      <c r="C31" s="124"/>
      <c r="D31" s="131"/>
      <c r="E31" s="130"/>
      <c r="F31" s="124"/>
      <c r="G31" s="124"/>
      <c r="H31" s="124"/>
      <c r="I31" s="123"/>
      <c r="J31" s="123"/>
      <c r="K31" s="123"/>
      <c r="L31" s="123"/>
      <c r="M31" s="193"/>
      <c r="N31" s="211"/>
      <c r="O31" s="211"/>
      <c r="P31" s="117" t="s">
        <v>77</v>
      </c>
      <c r="Q31" s="118" t="s">
        <v>75</v>
      </c>
      <c r="R31" s="118" t="s">
        <v>76</v>
      </c>
      <c r="S31" s="119" t="s">
        <v>0</v>
      </c>
      <c r="T31" s="200"/>
      <c r="U31" s="123"/>
      <c r="V31" s="124"/>
      <c r="X31"/>
    </row>
    <row r="32" spans="2:24" ht="18.75" thickBot="1" x14ac:dyDescent="0.3">
      <c r="B32" s="124"/>
      <c r="C32" s="124"/>
      <c r="D32" s="132"/>
      <c r="E32" s="133"/>
      <c r="F32" s="124"/>
      <c r="G32" s="124"/>
      <c r="H32" s="124"/>
      <c r="I32" s="123"/>
      <c r="J32" s="123"/>
      <c r="K32" s="123"/>
      <c r="L32" s="123"/>
      <c r="M32" s="193"/>
      <c r="N32" s="198"/>
      <c r="O32" s="198"/>
      <c r="P32" s="220" t="e">
        <f t="shared" ref="P32:P60" si="1">Q32/$P$29</f>
        <v>#N/A</v>
      </c>
      <c r="Q32" s="217" t="e">
        <f>LOOKUP(S32,N9:N22,P9:P22)</f>
        <v>#N/A</v>
      </c>
      <c r="R32" s="215">
        <f>IF(R28=0,29,22)</f>
        <v>22</v>
      </c>
      <c r="S32" s="213">
        <f>T29</f>
        <v>6400</v>
      </c>
      <c r="T32" s="196" t="s">
        <v>1</v>
      </c>
      <c r="U32" s="123"/>
      <c r="V32" s="124"/>
      <c r="X32"/>
    </row>
    <row r="33" spans="2:24" ht="18.75" thickTop="1" x14ac:dyDescent="0.25">
      <c r="B33" s="124"/>
      <c r="C33" s="124"/>
      <c r="D33" s="124"/>
      <c r="E33" s="124"/>
      <c r="F33" s="124"/>
      <c r="G33" s="124"/>
      <c r="H33" s="124"/>
      <c r="I33" s="123"/>
      <c r="J33" s="123"/>
      <c r="K33" s="123"/>
      <c r="L33" s="123"/>
      <c r="M33" s="193"/>
      <c r="N33" s="198"/>
      <c r="O33" s="198"/>
      <c r="P33" s="220" t="e">
        <f t="shared" si="1"/>
        <v>#N/A</v>
      </c>
      <c r="Q33" s="218" t="e">
        <f t="shared" ref="Q33:Q60" si="2">$Q$32*(R33/$R$32)</f>
        <v>#N/A</v>
      </c>
      <c r="R33" s="215">
        <f t="shared" ref="R33:R60" si="3">$R32-1</f>
        <v>21</v>
      </c>
      <c r="S33" s="213" t="e">
        <f t="shared" ref="S33:S60" si="4">P33/$P$32*$S$32</f>
        <v>#N/A</v>
      </c>
      <c r="T33" s="196"/>
      <c r="U33" s="123"/>
      <c r="V33" s="124"/>
      <c r="X33"/>
    </row>
    <row r="34" spans="2:24" ht="18" x14ac:dyDescent="0.25">
      <c r="B34" s="124"/>
      <c r="C34" s="124"/>
      <c r="D34" s="124"/>
      <c r="E34" s="124"/>
      <c r="F34" s="124"/>
      <c r="G34" s="124"/>
      <c r="H34" s="124"/>
      <c r="I34" s="123"/>
      <c r="J34" s="123"/>
      <c r="K34" s="123"/>
      <c r="L34" s="123"/>
      <c r="M34" s="193"/>
      <c r="N34" s="198"/>
      <c r="O34" s="198"/>
      <c r="P34" s="220" t="e">
        <f t="shared" si="1"/>
        <v>#N/A</v>
      </c>
      <c r="Q34" s="218" t="e">
        <f t="shared" si="2"/>
        <v>#N/A</v>
      </c>
      <c r="R34" s="215">
        <f t="shared" si="3"/>
        <v>20</v>
      </c>
      <c r="S34" s="213" t="e">
        <f t="shared" si="4"/>
        <v>#N/A</v>
      </c>
      <c r="T34" s="196"/>
      <c r="U34" s="123"/>
      <c r="V34" s="124"/>
      <c r="X34"/>
    </row>
    <row r="35" spans="2:24" ht="18" x14ac:dyDescent="0.25">
      <c r="B35" s="124"/>
      <c r="C35" s="124"/>
      <c r="D35" s="124"/>
      <c r="E35" s="124"/>
      <c r="F35" s="124"/>
      <c r="G35" s="124"/>
      <c r="H35" s="124"/>
      <c r="I35" s="123"/>
      <c r="J35" s="123"/>
      <c r="K35" s="123"/>
      <c r="L35" s="123"/>
      <c r="M35" s="193"/>
      <c r="N35" s="198"/>
      <c r="O35" s="198"/>
      <c r="P35" s="220" t="e">
        <f t="shared" si="1"/>
        <v>#N/A</v>
      </c>
      <c r="Q35" s="218" t="e">
        <f t="shared" si="2"/>
        <v>#N/A</v>
      </c>
      <c r="R35" s="215">
        <f t="shared" si="3"/>
        <v>19</v>
      </c>
      <c r="S35" s="213" t="e">
        <f t="shared" si="4"/>
        <v>#N/A</v>
      </c>
      <c r="T35" s="196"/>
      <c r="U35" s="123"/>
      <c r="V35" s="124"/>
      <c r="X35"/>
    </row>
    <row r="36" spans="2:24" ht="18" x14ac:dyDescent="0.25">
      <c r="B36" s="124"/>
      <c r="C36" s="124"/>
      <c r="D36" s="124"/>
      <c r="E36" s="124"/>
      <c r="F36" s="124"/>
      <c r="G36" s="124"/>
      <c r="H36" s="124"/>
      <c r="I36" s="123"/>
      <c r="J36" s="123"/>
      <c r="K36" s="123"/>
      <c r="L36" s="123"/>
      <c r="M36" s="193"/>
      <c r="N36" s="198"/>
      <c r="O36" s="198"/>
      <c r="P36" s="220" t="e">
        <f t="shared" si="1"/>
        <v>#N/A</v>
      </c>
      <c r="Q36" s="218" t="e">
        <f t="shared" si="2"/>
        <v>#N/A</v>
      </c>
      <c r="R36" s="215">
        <f t="shared" si="3"/>
        <v>18</v>
      </c>
      <c r="S36" s="213" t="e">
        <f t="shared" si="4"/>
        <v>#N/A</v>
      </c>
      <c r="T36" s="196"/>
      <c r="U36" s="123"/>
      <c r="V36" s="124"/>
      <c r="X36"/>
    </row>
    <row r="37" spans="2:24" ht="18" x14ac:dyDescent="0.25">
      <c r="B37" s="124"/>
      <c r="C37" s="124"/>
      <c r="D37" s="124"/>
      <c r="E37" s="124"/>
      <c r="F37" s="124"/>
      <c r="G37" s="124"/>
      <c r="H37" s="124"/>
      <c r="I37" s="123"/>
      <c r="J37" s="123"/>
      <c r="K37" s="123"/>
      <c r="L37" s="123"/>
      <c r="M37" s="193"/>
      <c r="N37" s="198"/>
      <c r="O37" s="198"/>
      <c r="P37" s="220" t="e">
        <f t="shared" si="1"/>
        <v>#N/A</v>
      </c>
      <c r="Q37" s="218" t="e">
        <f t="shared" si="2"/>
        <v>#N/A</v>
      </c>
      <c r="R37" s="215">
        <f t="shared" si="3"/>
        <v>17</v>
      </c>
      <c r="S37" s="213" t="e">
        <f t="shared" si="4"/>
        <v>#N/A</v>
      </c>
      <c r="T37" s="196"/>
      <c r="U37" s="123"/>
      <c r="V37" s="124"/>
      <c r="X37"/>
    </row>
    <row r="38" spans="2:24" ht="18" x14ac:dyDescent="0.25">
      <c r="B38" s="124"/>
      <c r="C38" s="124"/>
      <c r="D38" s="124"/>
      <c r="E38" s="124"/>
      <c r="F38" s="124"/>
      <c r="G38" s="124"/>
      <c r="H38" s="124"/>
      <c r="I38" s="123"/>
      <c r="J38" s="123"/>
      <c r="K38" s="123"/>
      <c r="L38" s="123"/>
      <c r="M38" s="193"/>
      <c r="N38" s="198"/>
      <c r="O38" s="198"/>
      <c r="P38" s="220" t="e">
        <f t="shared" si="1"/>
        <v>#N/A</v>
      </c>
      <c r="Q38" s="218" t="e">
        <f t="shared" si="2"/>
        <v>#N/A</v>
      </c>
      <c r="R38" s="215">
        <f t="shared" si="3"/>
        <v>16</v>
      </c>
      <c r="S38" s="213" t="e">
        <f t="shared" si="4"/>
        <v>#N/A</v>
      </c>
      <c r="T38" s="196"/>
      <c r="U38" s="123"/>
      <c r="V38" s="124"/>
      <c r="X38"/>
    </row>
    <row r="39" spans="2:24" ht="18" x14ac:dyDescent="0.25">
      <c r="B39" s="124"/>
      <c r="C39" s="124"/>
      <c r="D39" s="124"/>
      <c r="E39" s="124"/>
      <c r="F39" s="124"/>
      <c r="G39" s="124"/>
      <c r="H39" s="124"/>
      <c r="I39" s="123"/>
      <c r="J39" s="123"/>
      <c r="K39" s="123"/>
      <c r="L39" s="123"/>
      <c r="M39" s="193"/>
      <c r="N39" s="198"/>
      <c r="O39" s="198"/>
      <c r="P39" s="220" t="e">
        <f t="shared" si="1"/>
        <v>#N/A</v>
      </c>
      <c r="Q39" s="218" t="e">
        <f t="shared" si="2"/>
        <v>#N/A</v>
      </c>
      <c r="R39" s="215">
        <f t="shared" si="3"/>
        <v>15</v>
      </c>
      <c r="S39" s="213" t="e">
        <f t="shared" si="4"/>
        <v>#N/A</v>
      </c>
      <c r="T39" s="196"/>
      <c r="U39" s="123"/>
      <c r="V39" s="124"/>
      <c r="X39"/>
    </row>
    <row r="40" spans="2:24" ht="18" x14ac:dyDescent="0.25">
      <c r="B40" s="124"/>
      <c r="C40" s="124"/>
      <c r="D40" s="124"/>
      <c r="E40" s="124"/>
      <c r="F40" s="124"/>
      <c r="G40" s="124"/>
      <c r="H40" s="124"/>
      <c r="I40" s="123"/>
      <c r="J40" s="123"/>
      <c r="K40" s="123"/>
      <c r="L40" s="123"/>
      <c r="M40" s="193"/>
      <c r="N40" s="198"/>
      <c r="O40" s="198"/>
      <c r="P40" s="220" t="e">
        <f t="shared" si="1"/>
        <v>#N/A</v>
      </c>
      <c r="Q40" s="218" t="e">
        <f t="shared" si="2"/>
        <v>#N/A</v>
      </c>
      <c r="R40" s="215">
        <f t="shared" si="3"/>
        <v>14</v>
      </c>
      <c r="S40" s="213" t="e">
        <f t="shared" si="4"/>
        <v>#N/A</v>
      </c>
      <c r="T40" s="196"/>
      <c r="U40" s="123"/>
      <c r="V40" s="124"/>
      <c r="X40"/>
    </row>
    <row r="41" spans="2:24" ht="18" x14ac:dyDescent="0.25">
      <c r="B41" s="124"/>
      <c r="C41" s="124"/>
      <c r="D41" s="124"/>
      <c r="E41" s="124"/>
      <c r="F41" s="124"/>
      <c r="G41" s="124"/>
      <c r="H41" s="124"/>
      <c r="I41" s="123"/>
      <c r="J41" s="123"/>
      <c r="K41" s="123"/>
      <c r="L41" s="123"/>
      <c r="M41" s="193"/>
      <c r="N41" s="198"/>
      <c r="O41" s="198"/>
      <c r="P41" s="220" t="e">
        <f t="shared" si="1"/>
        <v>#N/A</v>
      </c>
      <c r="Q41" s="218" t="e">
        <f t="shared" si="2"/>
        <v>#N/A</v>
      </c>
      <c r="R41" s="215">
        <f t="shared" si="3"/>
        <v>13</v>
      </c>
      <c r="S41" s="213" t="e">
        <f t="shared" si="4"/>
        <v>#N/A</v>
      </c>
      <c r="T41" s="196"/>
      <c r="U41" s="123"/>
      <c r="V41" s="124"/>
      <c r="X41"/>
    </row>
    <row r="42" spans="2:24" ht="18" x14ac:dyDescent="0.25">
      <c r="B42" s="124"/>
      <c r="C42" s="124"/>
      <c r="D42" s="124"/>
      <c r="E42" s="124"/>
      <c r="F42" s="124"/>
      <c r="G42" s="124"/>
      <c r="H42" s="124"/>
      <c r="I42" s="123"/>
      <c r="J42" s="123"/>
      <c r="K42" s="123"/>
      <c r="L42" s="123"/>
      <c r="M42" s="193"/>
      <c r="N42" s="198"/>
      <c r="O42" s="198"/>
      <c r="P42" s="220" t="e">
        <f t="shared" si="1"/>
        <v>#N/A</v>
      </c>
      <c r="Q42" s="218" t="e">
        <f t="shared" si="2"/>
        <v>#N/A</v>
      </c>
      <c r="R42" s="215">
        <f t="shared" si="3"/>
        <v>12</v>
      </c>
      <c r="S42" s="213" t="e">
        <f t="shared" si="4"/>
        <v>#N/A</v>
      </c>
      <c r="T42" s="196"/>
      <c r="U42" s="123"/>
      <c r="V42" s="124"/>
      <c r="X42"/>
    </row>
    <row r="43" spans="2:24" ht="18" x14ac:dyDescent="0.25">
      <c r="B43" s="124"/>
      <c r="C43" s="124"/>
      <c r="D43" s="124"/>
      <c r="E43" s="124"/>
      <c r="F43" s="124"/>
      <c r="G43" s="124"/>
      <c r="H43" s="124"/>
      <c r="I43" s="123"/>
      <c r="J43" s="123"/>
      <c r="K43" s="123"/>
      <c r="L43" s="123"/>
      <c r="M43" s="193"/>
      <c r="N43" s="198"/>
      <c r="O43" s="198"/>
      <c r="P43" s="220" t="e">
        <f t="shared" si="1"/>
        <v>#N/A</v>
      </c>
      <c r="Q43" s="218" t="e">
        <f t="shared" si="2"/>
        <v>#N/A</v>
      </c>
      <c r="R43" s="215">
        <f t="shared" si="3"/>
        <v>11</v>
      </c>
      <c r="S43" s="213" t="e">
        <f t="shared" si="4"/>
        <v>#N/A</v>
      </c>
      <c r="T43" s="196"/>
      <c r="U43" s="123"/>
      <c r="V43" s="124"/>
      <c r="X43"/>
    </row>
    <row r="44" spans="2:24" ht="18" x14ac:dyDescent="0.25">
      <c r="B44" s="124"/>
      <c r="C44" s="124"/>
      <c r="D44" s="124"/>
      <c r="E44" s="124"/>
      <c r="F44" s="124"/>
      <c r="G44" s="124"/>
      <c r="H44" s="124"/>
      <c r="I44" s="123"/>
      <c r="J44" s="123"/>
      <c r="K44" s="123"/>
      <c r="L44" s="123"/>
      <c r="M44" s="193"/>
      <c r="N44" s="198"/>
      <c r="O44" s="198"/>
      <c r="P44" s="220" t="e">
        <f t="shared" si="1"/>
        <v>#N/A</v>
      </c>
      <c r="Q44" s="218" t="e">
        <f t="shared" si="2"/>
        <v>#N/A</v>
      </c>
      <c r="R44" s="215">
        <f t="shared" si="3"/>
        <v>10</v>
      </c>
      <c r="S44" s="213" t="e">
        <f t="shared" si="4"/>
        <v>#N/A</v>
      </c>
      <c r="T44" s="196"/>
      <c r="U44" s="123"/>
      <c r="V44" s="124"/>
      <c r="X44"/>
    </row>
    <row r="45" spans="2:24" ht="18" x14ac:dyDescent="0.25">
      <c r="B45" s="124"/>
      <c r="C45" s="124"/>
      <c r="D45" s="124"/>
      <c r="E45" s="124"/>
      <c r="F45" s="124"/>
      <c r="G45" s="124"/>
      <c r="H45" s="124"/>
      <c r="I45" s="123"/>
      <c r="J45" s="123"/>
      <c r="K45" s="123"/>
      <c r="L45" s="123"/>
      <c r="M45" s="193"/>
      <c r="N45" s="198"/>
      <c r="O45" s="198"/>
      <c r="P45" s="220" t="e">
        <f t="shared" si="1"/>
        <v>#N/A</v>
      </c>
      <c r="Q45" s="218" t="e">
        <f t="shared" si="2"/>
        <v>#N/A</v>
      </c>
      <c r="R45" s="215">
        <f t="shared" si="3"/>
        <v>9</v>
      </c>
      <c r="S45" s="213" t="e">
        <f t="shared" si="4"/>
        <v>#N/A</v>
      </c>
      <c r="T45" s="196"/>
      <c r="U45" s="123"/>
      <c r="V45" s="124"/>
      <c r="X45"/>
    </row>
    <row r="46" spans="2:24" ht="18" x14ac:dyDescent="0.25">
      <c r="B46" s="124"/>
      <c r="C46" s="124"/>
      <c r="D46" s="124"/>
      <c r="E46" s="124"/>
      <c r="F46" s="124"/>
      <c r="G46" s="124"/>
      <c r="H46" s="124"/>
      <c r="I46" s="123"/>
      <c r="J46" s="123"/>
      <c r="K46" s="123"/>
      <c r="L46" s="123"/>
      <c r="M46" s="193"/>
      <c r="N46" s="198"/>
      <c r="O46" s="198"/>
      <c r="P46" s="220" t="e">
        <f t="shared" si="1"/>
        <v>#N/A</v>
      </c>
      <c r="Q46" s="218" t="e">
        <f t="shared" si="2"/>
        <v>#N/A</v>
      </c>
      <c r="R46" s="215">
        <f t="shared" si="3"/>
        <v>8</v>
      </c>
      <c r="S46" s="213" t="e">
        <f t="shared" si="4"/>
        <v>#N/A</v>
      </c>
      <c r="T46" s="196"/>
      <c r="U46" s="123"/>
      <c r="V46" s="124"/>
      <c r="X46"/>
    </row>
    <row r="47" spans="2:24" ht="18" x14ac:dyDescent="0.25">
      <c r="B47" s="124"/>
      <c r="C47" s="124"/>
      <c r="D47" s="124"/>
      <c r="E47" s="124"/>
      <c r="F47" s="124"/>
      <c r="G47" s="124"/>
      <c r="H47" s="124"/>
      <c r="I47" s="123"/>
      <c r="J47" s="123"/>
      <c r="K47" s="123"/>
      <c r="L47" s="123"/>
      <c r="M47" s="193"/>
      <c r="N47" s="198"/>
      <c r="O47" s="198"/>
      <c r="P47" s="220" t="e">
        <f t="shared" si="1"/>
        <v>#N/A</v>
      </c>
      <c r="Q47" s="218" t="e">
        <f t="shared" si="2"/>
        <v>#N/A</v>
      </c>
      <c r="R47" s="215">
        <f t="shared" si="3"/>
        <v>7</v>
      </c>
      <c r="S47" s="213" t="e">
        <f t="shared" si="4"/>
        <v>#N/A</v>
      </c>
      <c r="T47" s="196"/>
      <c r="U47" s="123"/>
      <c r="V47" s="124"/>
      <c r="X47"/>
    </row>
    <row r="48" spans="2:24" ht="18" x14ac:dyDescent="0.25">
      <c r="B48" s="124"/>
      <c r="C48" s="124"/>
      <c r="D48" s="124"/>
      <c r="E48" s="124"/>
      <c r="F48" s="124"/>
      <c r="G48" s="124"/>
      <c r="H48" s="124"/>
      <c r="I48" s="123"/>
      <c r="J48" s="123"/>
      <c r="K48" s="123"/>
      <c r="L48" s="123"/>
      <c r="M48" s="193"/>
      <c r="N48" s="198"/>
      <c r="O48" s="198"/>
      <c r="P48" s="220" t="e">
        <f t="shared" si="1"/>
        <v>#N/A</v>
      </c>
      <c r="Q48" s="218" t="e">
        <f t="shared" si="2"/>
        <v>#N/A</v>
      </c>
      <c r="R48" s="215">
        <f t="shared" si="3"/>
        <v>6</v>
      </c>
      <c r="S48" s="213" t="e">
        <f t="shared" si="4"/>
        <v>#N/A</v>
      </c>
      <c r="T48" s="196"/>
      <c r="U48" s="123"/>
      <c r="V48" s="124"/>
      <c r="X48"/>
    </row>
    <row r="49" spans="2:24" ht="18" x14ac:dyDescent="0.25">
      <c r="B49" s="124"/>
      <c r="C49" s="124"/>
      <c r="D49" s="124"/>
      <c r="E49" s="124"/>
      <c r="F49" s="124"/>
      <c r="G49" s="124"/>
      <c r="H49" s="124"/>
      <c r="I49" s="123"/>
      <c r="J49" s="123"/>
      <c r="K49" s="123"/>
      <c r="L49" s="123"/>
      <c r="M49" s="193"/>
      <c r="N49" s="198"/>
      <c r="O49" s="198"/>
      <c r="P49" s="220" t="e">
        <f t="shared" si="1"/>
        <v>#N/A</v>
      </c>
      <c r="Q49" s="218" t="e">
        <f t="shared" si="2"/>
        <v>#N/A</v>
      </c>
      <c r="R49" s="215">
        <f t="shared" si="3"/>
        <v>5</v>
      </c>
      <c r="S49" s="213" t="e">
        <f t="shared" si="4"/>
        <v>#N/A</v>
      </c>
      <c r="T49" s="196"/>
      <c r="U49" s="123"/>
      <c r="V49" s="124"/>
      <c r="X49"/>
    </row>
    <row r="50" spans="2:24" ht="18" x14ac:dyDescent="0.25">
      <c r="B50" s="124"/>
      <c r="C50" s="124"/>
      <c r="D50" s="124"/>
      <c r="E50" s="124"/>
      <c r="F50" s="124"/>
      <c r="G50" s="124"/>
      <c r="H50" s="124"/>
      <c r="I50" s="123"/>
      <c r="J50" s="123"/>
      <c r="K50" s="123"/>
      <c r="L50" s="123"/>
      <c r="M50" s="193"/>
      <c r="N50" s="198"/>
      <c r="O50" s="198"/>
      <c r="P50" s="220" t="e">
        <f t="shared" si="1"/>
        <v>#N/A</v>
      </c>
      <c r="Q50" s="218" t="e">
        <f t="shared" si="2"/>
        <v>#N/A</v>
      </c>
      <c r="R50" s="215">
        <f t="shared" si="3"/>
        <v>4</v>
      </c>
      <c r="S50" s="213" t="e">
        <f t="shared" si="4"/>
        <v>#N/A</v>
      </c>
      <c r="T50" s="196"/>
      <c r="U50" s="123"/>
      <c r="V50" s="124"/>
      <c r="X50"/>
    </row>
    <row r="51" spans="2:24" ht="18" x14ac:dyDescent="0.25">
      <c r="B51" s="124"/>
      <c r="C51" s="124"/>
      <c r="D51" s="124"/>
      <c r="E51" s="124"/>
      <c r="F51" s="124"/>
      <c r="G51" s="124"/>
      <c r="H51" s="124"/>
      <c r="I51" s="123"/>
      <c r="J51" s="123"/>
      <c r="K51" s="123"/>
      <c r="L51" s="123"/>
      <c r="M51" s="193"/>
      <c r="N51" s="198"/>
      <c r="O51" s="198"/>
      <c r="P51" s="220" t="e">
        <f t="shared" si="1"/>
        <v>#N/A</v>
      </c>
      <c r="Q51" s="218" t="e">
        <f t="shared" si="2"/>
        <v>#N/A</v>
      </c>
      <c r="R51" s="215">
        <f t="shared" si="3"/>
        <v>3</v>
      </c>
      <c r="S51" s="213" t="e">
        <f t="shared" si="4"/>
        <v>#N/A</v>
      </c>
      <c r="T51" s="196"/>
      <c r="U51" s="123"/>
      <c r="V51" s="124"/>
      <c r="X51"/>
    </row>
    <row r="52" spans="2:24" ht="18" x14ac:dyDescent="0.25">
      <c r="B52" s="124"/>
      <c r="C52" s="124"/>
      <c r="D52" s="124"/>
      <c r="E52" s="124"/>
      <c r="F52" s="124"/>
      <c r="G52" s="124"/>
      <c r="H52" s="124"/>
      <c r="I52" s="123"/>
      <c r="J52" s="123"/>
      <c r="K52" s="123"/>
      <c r="L52" s="123"/>
      <c r="M52" s="193"/>
      <c r="N52" s="198"/>
      <c r="O52" s="198"/>
      <c r="P52" s="220" t="e">
        <f t="shared" si="1"/>
        <v>#N/A</v>
      </c>
      <c r="Q52" s="218" t="e">
        <f t="shared" si="2"/>
        <v>#N/A</v>
      </c>
      <c r="R52" s="215">
        <f t="shared" si="3"/>
        <v>2</v>
      </c>
      <c r="S52" s="213" t="e">
        <f t="shared" si="4"/>
        <v>#N/A</v>
      </c>
      <c r="T52" s="196"/>
      <c r="U52" s="123"/>
      <c r="V52" s="124"/>
      <c r="X52"/>
    </row>
    <row r="53" spans="2:24" ht="18" x14ac:dyDescent="0.25">
      <c r="B53" s="124"/>
      <c r="C53" s="124"/>
      <c r="D53" s="124"/>
      <c r="E53" s="124"/>
      <c r="F53" s="124"/>
      <c r="G53" s="124"/>
      <c r="H53" s="124"/>
      <c r="I53" s="123"/>
      <c r="J53" s="123"/>
      <c r="K53" s="123"/>
      <c r="L53" s="123"/>
      <c r="M53" s="193"/>
      <c r="N53" s="198"/>
      <c r="O53" s="198"/>
      <c r="P53" s="220" t="e">
        <f t="shared" si="1"/>
        <v>#N/A</v>
      </c>
      <c r="Q53" s="218" t="e">
        <f t="shared" si="2"/>
        <v>#N/A</v>
      </c>
      <c r="R53" s="215">
        <f t="shared" si="3"/>
        <v>1</v>
      </c>
      <c r="S53" s="213" t="e">
        <f t="shared" si="4"/>
        <v>#N/A</v>
      </c>
      <c r="T53" s="196"/>
      <c r="U53" s="123"/>
      <c r="V53" s="124"/>
      <c r="X53"/>
    </row>
    <row r="54" spans="2:24" ht="18" x14ac:dyDescent="0.25">
      <c r="B54" s="124"/>
      <c r="C54" s="124"/>
      <c r="D54" s="124"/>
      <c r="E54" s="124"/>
      <c r="F54" s="124"/>
      <c r="G54" s="124"/>
      <c r="H54" s="124"/>
      <c r="I54" s="123"/>
      <c r="J54" s="123"/>
      <c r="K54" s="123"/>
      <c r="L54" s="123"/>
      <c r="M54" s="193"/>
      <c r="N54" s="198"/>
      <c r="O54" s="198"/>
      <c r="P54" s="220" t="e">
        <f t="shared" si="1"/>
        <v>#N/A</v>
      </c>
      <c r="Q54" s="218" t="e">
        <f t="shared" si="2"/>
        <v>#N/A</v>
      </c>
      <c r="R54" s="215">
        <f t="shared" si="3"/>
        <v>0</v>
      </c>
      <c r="S54" s="213" t="e">
        <f t="shared" si="4"/>
        <v>#N/A</v>
      </c>
      <c r="T54" s="196"/>
      <c r="U54" s="123"/>
      <c r="V54" s="124"/>
      <c r="X54"/>
    </row>
    <row r="55" spans="2:24" ht="18" x14ac:dyDescent="0.25">
      <c r="B55" s="124"/>
      <c r="C55" s="124"/>
      <c r="D55" s="124"/>
      <c r="E55" s="124"/>
      <c r="F55" s="124"/>
      <c r="G55" s="124"/>
      <c r="H55" s="124"/>
      <c r="I55" s="123"/>
      <c r="J55" s="123"/>
      <c r="K55" s="123"/>
      <c r="L55" s="123"/>
      <c r="M55" s="193"/>
      <c r="N55" s="198"/>
      <c r="O55" s="198"/>
      <c r="P55" s="220" t="e">
        <f t="shared" si="1"/>
        <v>#N/A</v>
      </c>
      <c r="Q55" s="218" t="e">
        <f t="shared" si="2"/>
        <v>#N/A</v>
      </c>
      <c r="R55" s="215">
        <f t="shared" si="3"/>
        <v>-1</v>
      </c>
      <c r="S55" s="213" t="e">
        <f t="shared" si="4"/>
        <v>#N/A</v>
      </c>
      <c r="T55" s="196"/>
      <c r="U55" s="123"/>
      <c r="V55" s="124"/>
      <c r="X55"/>
    </row>
    <row r="56" spans="2:24" ht="18" x14ac:dyDescent="0.25">
      <c r="B56" s="124"/>
      <c r="C56" s="124"/>
      <c r="D56" s="124"/>
      <c r="E56" s="124"/>
      <c r="F56" s="124"/>
      <c r="G56" s="124"/>
      <c r="H56" s="124"/>
      <c r="I56" s="123"/>
      <c r="J56" s="123"/>
      <c r="K56" s="123"/>
      <c r="L56" s="123"/>
      <c r="M56" s="193"/>
      <c r="N56" s="198"/>
      <c r="O56" s="198"/>
      <c r="P56" s="220" t="e">
        <f t="shared" si="1"/>
        <v>#N/A</v>
      </c>
      <c r="Q56" s="218" t="e">
        <f t="shared" si="2"/>
        <v>#N/A</v>
      </c>
      <c r="R56" s="215">
        <f t="shared" si="3"/>
        <v>-2</v>
      </c>
      <c r="S56" s="213" t="e">
        <f t="shared" si="4"/>
        <v>#N/A</v>
      </c>
      <c r="T56" s="196"/>
      <c r="U56" s="123"/>
      <c r="V56" s="124"/>
      <c r="X56"/>
    </row>
    <row r="57" spans="2:24" ht="18" x14ac:dyDescent="0.25">
      <c r="B57" s="124"/>
      <c r="C57" s="124"/>
      <c r="D57" s="124"/>
      <c r="E57" s="124"/>
      <c r="F57" s="124"/>
      <c r="G57" s="124"/>
      <c r="H57" s="124"/>
      <c r="I57" s="123"/>
      <c r="J57" s="123"/>
      <c r="K57" s="123"/>
      <c r="L57" s="123"/>
      <c r="M57" s="193"/>
      <c r="N57" s="198"/>
      <c r="O57" s="198"/>
      <c r="P57" s="220" t="e">
        <f t="shared" si="1"/>
        <v>#N/A</v>
      </c>
      <c r="Q57" s="218" t="e">
        <f t="shared" si="2"/>
        <v>#N/A</v>
      </c>
      <c r="R57" s="215">
        <f t="shared" si="3"/>
        <v>-3</v>
      </c>
      <c r="S57" s="213" t="e">
        <f t="shared" si="4"/>
        <v>#N/A</v>
      </c>
      <c r="T57" s="196"/>
      <c r="U57" s="123"/>
      <c r="V57" s="124"/>
      <c r="X57"/>
    </row>
    <row r="58" spans="2:24" ht="18" x14ac:dyDescent="0.25">
      <c r="B58" s="124"/>
      <c r="C58" s="124"/>
      <c r="D58" s="124"/>
      <c r="E58" s="124"/>
      <c r="F58" s="124"/>
      <c r="G58" s="124"/>
      <c r="H58" s="124"/>
      <c r="I58" s="123"/>
      <c r="J58" s="123"/>
      <c r="K58" s="123"/>
      <c r="L58" s="123"/>
      <c r="M58" s="193"/>
      <c r="N58" s="198"/>
      <c r="O58" s="198"/>
      <c r="P58" s="220" t="e">
        <f t="shared" si="1"/>
        <v>#N/A</v>
      </c>
      <c r="Q58" s="218" t="e">
        <f t="shared" si="2"/>
        <v>#N/A</v>
      </c>
      <c r="R58" s="215">
        <f t="shared" si="3"/>
        <v>-4</v>
      </c>
      <c r="S58" s="213" t="e">
        <f t="shared" si="4"/>
        <v>#N/A</v>
      </c>
      <c r="T58" s="196"/>
      <c r="U58" s="123"/>
      <c r="V58" s="124"/>
      <c r="X58"/>
    </row>
    <row r="59" spans="2:24" ht="18" x14ac:dyDescent="0.25">
      <c r="B59" s="124"/>
      <c r="C59" s="124"/>
      <c r="D59" s="124"/>
      <c r="E59" s="124"/>
      <c r="F59" s="124"/>
      <c r="G59" s="124"/>
      <c r="H59" s="124"/>
      <c r="I59" s="123"/>
      <c r="J59" s="123"/>
      <c r="K59" s="123"/>
      <c r="L59" s="123"/>
      <c r="M59" s="193"/>
      <c r="N59" s="198"/>
      <c r="O59" s="198"/>
      <c r="P59" s="220" t="e">
        <f t="shared" si="1"/>
        <v>#N/A</v>
      </c>
      <c r="Q59" s="218" t="e">
        <f t="shared" si="2"/>
        <v>#N/A</v>
      </c>
      <c r="R59" s="215">
        <f t="shared" si="3"/>
        <v>-5</v>
      </c>
      <c r="S59" s="213" t="e">
        <f t="shared" si="4"/>
        <v>#N/A</v>
      </c>
      <c r="T59" s="196"/>
      <c r="U59" s="123"/>
      <c r="V59" s="124"/>
      <c r="X59"/>
    </row>
    <row r="60" spans="2:24" ht="18.75" thickBot="1" x14ac:dyDescent="0.3">
      <c r="B60" s="124"/>
      <c r="C60" s="124"/>
      <c r="D60" s="124"/>
      <c r="E60" s="124"/>
      <c r="F60" s="124"/>
      <c r="G60" s="124"/>
      <c r="H60" s="124"/>
      <c r="I60" s="123"/>
      <c r="J60" s="123"/>
      <c r="K60" s="123"/>
      <c r="L60" s="123"/>
      <c r="M60" s="193"/>
      <c r="N60" s="198"/>
      <c r="O60" s="198"/>
      <c r="P60" s="221" t="e">
        <f t="shared" si="1"/>
        <v>#N/A</v>
      </c>
      <c r="Q60" s="219" t="e">
        <f t="shared" si="2"/>
        <v>#N/A</v>
      </c>
      <c r="R60" s="216">
        <f t="shared" si="3"/>
        <v>-6</v>
      </c>
      <c r="S60" s="214" t="e">
        <f t="shared" si="4"/>
        <v>#N/A</v>
      </c>
      <c r="T60" s="196"/>
      <c r="U60" s="123"/>
      <c r="V60" s="124"/>
      <c r="X60"/>
    </row>
    <row r="61" spans="2:24" x14ac:dyDescent="0.2">
      <c r="B61" s="124"/>
      <c r="C61" s="124"/>
      <c r="D61" s="124"/>
      <c r="E61" s="124"/>
      <c r="F61" s="124"/>
      <c r="G61" s="124"/>
      <c r="H61" s="124"/>
      <c r="I61" s="123"/>
      <c r="J61" s="123"/>
      <c r="K61" s="123"/>
      <c r="L61" s="123"/>
      <c r="M61" s="193"/>
      <c r="N61" s="198"/>
      <c r="O61" s="198"/>
      <c r="P61" s="198"/>
      <c r="Q61" s="198"/>
      <c r="R61" s="198"/>
      <c r="S61" s="198"/>
      <c r="T61" s="196"/>
      <c r="U61" s="123"/>
      <c r="V61" s="124"/>
      <c r="X61"/>
    </row>
    <row r="62" spans="2:24" ht="13.5" thickBot="1" x14ac:dyDescent="0.25">
      <c r="B62" s="124"/>
      <c r="C62" s="124"/>
      <c r="D62" s="124"/>
      <c r="E62" s="124"/>
      <c r="F62" s="124"/>
      <c r="G62" s="124"/>
      <c r="H62" s="124"/>
      <c r="I62" s="123"/>
      <c r="J62" s="123"/>
      <c r="K62" s="123"/>
      <c r="L62" s="123"/>
      <c r="M62" s="210"/>
      <c r="N62" s="199"/>
      <c r="O62" s="199"/>
      <c r="P62" s="199"/>
      <c r="Q62" s="199"/>
      <c r="R62" s="199"/>
      <c r="S62" s="199"/>
      <c r="T62" s="201"/>
      <c r="U62" s="123"/>
      <c r="V62" s="124"/>
      <c r="X62"/>
    </row>
    <row r="63" spans="2:24" ht="12.75" customHeight="1" thickTop="1" x14ac:dyDescent="0.2">
      <c r="B63" s="124"/>
      <c r="C63" s="124"/>
      <c r="D63" s="124"/>
      <c r="E63" s="124"/>
      <c r="F63" s="124"/>
      <c r="G63" s="124"/>
      <c r="H63" s="124"/>
      <c r="I63" s="123"/>
      <c r="J63" s="123"/>
      <c r="K63" s="123"/>
      <c r="L63" s="123"/>
      <c r="M63" s="123"/>
      <c r="N63" s="123"/>
      <c r="O63" s="123"/>
      <c r="P63" s="123"/>
      <c r="Q63" s="123"/>
      <c r="R63" s="123"/>
      <c r="S63" s="123"/>
      <c r="T63" s="123"/>
      <c r="U63" s="123"/>
      <c r="V63" s="124"/>
      <c r="X63"/>
    </row>
    <row r="64" spans="2:24" x14ac:dyDescent="0.2">
      <c r="B64" s="124"/>
      <c r="C64" s="124"/>
      <c r="D64" s="124"/>
      <c r="E64" s="124"/>
      <c r="F64" s="124"/>
      <c r="G64" s="124"/>
      <c r="H64" s="124"/>
      <c r="I64" s="138"/>
      <c r="J64" s="124"/>
      <c r="K64" s="124"/>
      <c r="L64" s="124"/>
      <c r="M64" s="123"/>
      <c r="N64" s="124"/>
      <c r="O64" s="124"/>
      <c r="P64" s="124"/>
      <c r="Q64" s="124"/>
      <c r="R64" s="124"/>
      <c r="S64" s="124"/>
      <c r="T64" s="124"/>
      <c r="U64" s="124"/>
      <c r="V64" s="124"/>
    </row>
    <row r="65" spans="1:248" x14ac:dyDescent="0.2">
      <c r="B65" s="124"/>
      <c r="C65" s="124"/>
      <c r="D65" s="124"/>
      <c r="E65" s="124"/>
      <c r="F65" s="124"/>
      <c r="G65" s="124"/>
      <c r="H65" s="124"/>
      <c r="I65" s="138"/>
      <c r="J65" s="124"/>
      <c r="K65" s="124"/>
      <c r="L65" s="124"/>
      <c r="M65" s="124"/>
      <c r="N65" s="123"/>
      <c r="O65" s="123"/>
      <c r="P65" s="123"/>
      <c r="Q65" s="124"/>
      <c r="R65" s="124"/>
      <c r="S65" s="124"/>
      <c r="T65" s="124"/>
      <c r="U65" s="124"/>
      <c r="V65" s="124"/>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c r="HB65" s="61"/>
      <c r="HC65" s="61"/>
      <c r="HD65" s="61"/>
      <c r="HE65" s="61"/>
      <c r="HF65" s="61"/>
      <c r="HG65" s="61"/>
      <c r="HH65" s="61"/>
      <c r="HI65" s="61"/>
      <c r="HJ65" s="61"/>
      <c r="HK65" s="61"/>
      <c r="HL65" s="61"/>
      <c r="HM65" s="61"/>
      <c r="HN65" s="61"/>
      <c r="HO65" s="61"/>
      <c r="HP65" s="61"/>
      <c r="HQ65" s="61"/>
      <c r="HR65" s="61"/>
      <c r="HS65" s="61"/>
      <c r="HT65" s="61"/>
      <c r="HU65" s="61"/>
      <c r="HV65" s="61"/>
      <c r="HW65" s="61"/>
      <c r="HX65" s="61"/>
      <c r="HY65" s="61"/>
      <c r="HZ65" s="61"/>
      <c r="IA65" s="61"/>
      <c r="IB65" s="61"/>
      <c r="IC65" s="61"/>
      <c r="ID65" s="61"/>
      <c r="IE65" s="61"/>
      <c r="IF65" s="61"/>
      <c r="IG65" s="61"/>
      <c r="IH65" s="61"/>
      <c r="II65" s="61"/>
      <c r="IJ65" s="61"/>
      <c r="IK65" s="61"/>
      <c r="IL65" s="61"/>
      <c r="IM65" s="61"/>
      <c r="IN65" s="61"/>
    </row>
    <row r="66" spans="1:248" s="54" customFormat="1" x14ac:dyDescent="0.2">
      <c r="A66" s="124"/>
      <c r="I66" s="121"/>
      <c r="N66" s="12"/>
      <c r="O66" s="12"/>
      <c r="P66" s="12"/>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c r="FW66" s="61"/>
      <c r="FX66" s="61"/>
      <c r="FY66" s="61"/>
      <c r="FZ66" s="61"/>
      <c r="GA66" s="61"/>
      <c r="GB66" s="61"/>
      <c r="GC66" s="61"/>
      <c r="GD66" s="61"/>
      <c r="GE66" s="61"/>
      <c r="GF66" s="61"/>
      <c r="GG66" s="61"/>
      <c r="GH66" s="61"/>
      <c r="GI66" s="61"/>
      <c r="GJ66" s="61"/>
      <c r="GK66" s="61"/>
      <c r="GL66" s="61"/>
      <c r="GM66" s="61"/>
      <c r="GN66" s="61"/>
      <c r="GO66" s="61"/>
      <c r="GP66" s="61"/>
      <c r="GQ66" s="61"/>
      <c r="GR66" s="61"/>
      <c r="GS66" s="61"/>
      <c r="GT66" s="61"/>
      <c r="GU66" s="61"/>
      <c r="GV66" s="61"/>
      <c r="GW66" s="61"/>
      <c r="GX66" s="61"/>
      <c r="GY66" s="61"/>
      <c r="GZ66" s="61"/>
      <c r="HA66" s="61"/>
      <c r="HB66" s="61"/>
      <c r="HC66" s="61"/>
      <c r="HD66" s="61"/>
      <c r="HE66" s="61"/>
      <c r="HF66" s="61"/>
      <c r="HG66" s="61"/>
      <c r="HH66" s="61"/>
      <c r="HI66" s="61"/>
      <c r="HJ66" s="61"/>
      <c r="HK66" s="61"/>
      <c r="HL66" s="61"/>
      <c r="HM66" s="61"/>
      <c r="HN66" s="61"/>
      <c r="HO66" s="61"/>
      <c r="HP66" s="61"/>
      <c r="HQ66" s="61"/>
      <c r="HR66" s="61"/>
      <c r="HS66" s="61"/>
      <c r="HT66" s="61"/>
      <c r="HU66" s="61"/>
      <c r="HV66" s="61"/>
      <c r="HW66" s="61"/>
      <c r="HX66" s="61"/>
      <c r="HY66" s="61"/>
      <c r="HZ66" s="61"/>
      <c r="IA66" s="61"/>
      <c r="IB66" s="61"/>
      <c r="IC66" s="61"/>
      <c r="ID66" s="61"/>
      <c r="IE66" s="61"/>
      <c r="IF66" s="61"/>
      <c r="IG66" s="61"/>
      <c r="IH66" s="61"/>
      <c r="II66" s="61"/>
      <c r="IJ66" s="61"/>
      <c r="IK66" s="61"/>
      <c r="IL66" s="61"/>
      <c r="IM66" s="61"/>
      <c r="IN66" s="61"/>
    </row>
    <row r="67" spans="1:248" s="54" customFormat="1" ht="25.5" x14ac:dyDescent="0.35">
      <c r="A67" s="124"/>
      <c r="I67" s="121"/>
      <c r="N67" s="127" t="s">
        <v>111</v>
      </c>
      <c r="O67" s="127"/>
      <c r="P67" s="127"/>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61"/>
      <c r="HC67" s="61"/>
      <c r="HD67" s="61"/>
      <c r="HE67" s="61"/>
      <c r="HF67" s="61"/>
      <c r="HG67" s="61"/>
      <c r="HH67" s="61"/>
      <c r="HI67" s="61"/>
      <c r="HJ67" s="61"/>
      <c r="HK67" s="61"/>
      <c r="HL67" s="61"/>
      <c r="HM67" s="61"/>
      <c r="HN67" s="61"/>
      <c r="HO67" s="61"/>
      <c r="HP67" s="61"/>
      <c r="HQ67" s="61"/>
      <c r="HR67" s="61"/>
      <c r="HS67" s="61"/>
      <c r="HT67" s="61"/>
      <c r="HU67" s="61"/>
      <c r="HV67" s="61"/>
      <c r="HW67" s="61"/>
      <c r="HX67" s="61"/>
      <c r="HY67" s="61"/>
      <c r="HZ67" s="61"/>
      <c r="IA67" s="61"/>
      <c r="IB67" s="61"/>
      <c r="IC67" s="61"/>
      <c r="ID67" s="61"/>
      <c r="IE67" s="61"/>
      <c r="IF67" s="61"/>
      <c r="IG67" s="61"/>
      <c r="IH67" s="61"/>
      <c r="II67" s="61"/>
      <c r="IJ67" s="61"/>
      <c r="IK67" s="61"/>
      <c r="IL67" s="61"/>
      <c r="IM67" s="61"/>
      <c r="IN67" s="61"/>
    </row>
    <row r="68" spans="1:248" s="54" customFormat="1" x14ac:dyDescent="0.2">
      <c r="A68" s="124"/>
      <c r="I68" s="121"/>
      <c r="N68" s="12"/>
      <c r="O68" s="12"/>
      <c r="P68" s="12"/>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c r="FW68" s="61"/>
      <c r="FX68" s="61"/>
      <c r="FY68" s="61"/>
      <c r="FZ68" s="61"/>
      <c r="GA68" s="61"/>
      <c r="GB68" s="61"/>
      <c r="GC68" s="61"/>
      <c r="GD68" s="61"/>
      <c r="GE68" s="61"/>
      <c r="GF68" s="61"/>
      <c r="GG68" s="61"/>
      <c r="GH68" s="61"/>
      <c r="GI68" s="61"/>
      <c r="GJ68" s="61"/>
      <c r="GK68" s="61"/>
      <c r="GL68" s="61"/>
      <c r="GM68" s="61"/>
      <c r="GN68" s="61"/>
      <c r="GO68" s="61"/>
      <c r="GP68" s="61"/>
      <c r="GQ68" s="61"/>
      <c r="GR68" s="61"/>
      <c r="GS68" s="61"/>
      <c r="GT68" s="61"/>
      <c r="GU68" s="61"/>
      <c r="GV68" s="61"/>
      <c r="GW68" s="61"/>
      <c r="GX68" s="61"/>
      <c r="GY68" s="61"/>
      <c r="GZ68" s="61"/>
      <c r="HA68" s="61"/>
      <c r="HB68" s="61"/>
      <c r="HC68" s="61"/>
      <c r="HD68" s="61"/>
      <c r="HE68" s="61"/>
      <c r="HF68" s="61"/>
      <c r="HG68" s="61"/>
      <c r="HH68" s="61"/>
      <c r="HI68" s="61"/>
      <c r="HJ68" s="61"/>
      <c r="HK68" s="61"/>
      <c r="HL68" s="61"/>
      <c r="HM68" s="61"/>
      <c r="HN68" s="61"/>
      <c r="HO68" s="61"/>
      <c r="HP68" s="61"/>
      <c r="HQ68" s="61"/>
      <c r="HR68" s="61"/>
      <c r="HS68" s="61"/>
      <c r="HT68" s="61"/>
      <c r="HU68" s="61"/>
      <c r="HV68" s="61"/>
      <c r="HW68" s="61"/>
      <c r="HX68" s="61"/>
      <c r="HY68" s="61"/>
      <c r="HZ68" s="61"/>
      <c r="IA68" s="61"/>
      <c r="IB68" s="61"/>
      <c r="IC68" s="61"/>
      <c r="ID68" s="61"/>
      <c r="IE68" s="61"/>
      <c r="IF68" s="61"/>
      <c r="IG68" s="61"/>
      <c r="IH68" s="61"/>
      <c r="II68" s="61"/>
      <c r="IJ68" s="61"/>
      <c r="IK68" s="61"/>
      <c r="IL68" s="61"/>
      <c r="IM68" s="61"/>
      <c r="IN68" s="61"/>
    </row>
    <row r="69" spans="1:248" x14ac:dyDescent="0.2">
      <c r="B69" s="124"/>
      <c r="C69" s="124"/>
      <c r="D69" s="124"/>
      <c r="E69" s="124"/>
      <c r="F69" s="124"/>
      <c r="G69" s="124"/>
      <c r="H69" s="124"/>
      <c r="I69" s="138"/>
      <c r="J69" s="124"/>
      <c r="K69" s="124"/>
      <c r="L69" s="124"/>
      <c r="M69" s="124"/>
      <c r="N69" s="123"/>
      <c r="O69" s="123"/>
      <c r="P69" s="123"/>
      <c r="Q69" s="124"/>
      <c r="R69" s="124"/>
      <c r="S69" s="124"/>
      <c r="T69" s="124"/>
      <c r="U69" s="124"/>
      <c r="V69" s="124"/>
      <c r="W69" s="124"/>
      <c r="X69" s="124"/>
      <c r="Y69" s="124"/>
      <c r="Z69" s="124"/>
      <c r="AA69" s="124"/>
      <c r="AB69" s="124"/>
      <c r="AC69" s="124"/>
      <c r="AD69" s="124"/>
      <c r="AE69" s="54"/>
      <c r="AF69" s="61"/>
      <c r="AG69" s="61"/>
      <c r="AH69" s="61"/>
      <c r="AI69" s="61"/>
      <c r="AJ69" s="61"/>
      <c r="AK69" s="61"/>
      <c r="AL69" s="61"/>
      <c r="AM69" s="61"/>
      <c r="AN69" s="61"/>
      <c r="AO69" s="61"/>
      <c r="AP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61"/>
      <c r="HC69" s="61"/>
      <c r="HD69" s="61"/>
      <c r="HE69" s="61"/>
      <c r="HF69" s="61"/>
      <c r="HG69" s="61"/>
      <c r="HH69" s="61"/>
      <c r="HI69" s="61"/>
      <c r="HJ69" s="61"/>
      <c r="HK69" s="61"/>
      <c r="HL69" s="61"/>
      <c r="HM69" s="61"/>
      <c r="HN69" s="61"/>
      <c r="HO69" s="61"/>
      <c r="HP69" s="61"/>
      <c r="HQ69" s="61"/>
      <c r="HR69" s="61"/>
      <c r="HS69" s="61"/>
      <c r="HT69" s="61"/>
      <c r="HU69" s="61"/>
      <c r="HV69" s="61"/>
      <c r="HW69" s="61"/>
      <c r="HX69" s="61"/>
      <c r="HY69" s="61"/>
      <c r="HZ69" s="61"/>
      <c r="IA69" s="61"/>
      <c r="IB69" s="61"/>
      <c r="IC69" s="61"/>
      <c r="ID69" s="61"/>
      <c r="IE69" s="61"/>
      <c r="IF69" s="61"/>
      <c r="IG69" s="61"/>
      <c r="IH69" s="61"/>
      <c r="II69" s="61"/>
      <c r="IJ69" s="61"/>
      <c r="IK69" s="61"/>
      <c r="IL69" s="61"/>
      <c r="IM69" s="61"/>
      <c r="IN69" s="61"/>
    </row>
    <row r="70" spans="1:248" x14ac:dyDescent="0.2">
      <c r="B70" s="124"/>
      <c r="C70" s="124"/>
      <c r="D70" s="124"/>
      <c r="E70" s="124"/>
      <c r="F70" s="124"/>
      <c r="G70" s="124"/>
      <c r="H70" s="124"/>
      <c r="I70" s="138"/>
      <c r="J70" s="124"/>
      <c r="K70" s="124"/>
      <c r="L70" s="124"/>
      <c r="M70" s="124"/>
      <c r="N70" s="123"/>
      <c r="O70" s="123"/>
      <c r="P70" s="123"/>
      <c r="Q70" s="124"/>
      <c r="R70" s="124"/>
      <c r="S70" s="124"/>
      <c r="T70" s="124"/>
      <c r="U70" s="124"/>
      <c r="V70" s="124"/>
      <c r="W70" s="230" t="s">
        <v>1</v>
      </c>
      <c r="X70" s="230" t="s">
        <v>1</v>
      </c>
      <c r="Y70" s="124"/>
      <c r="Z70" s="124"/>
      <c r="AA70" s="124"/>
      <c r="AB70" s="124"/>
      <c r="AC70" s="124"/>
      <c r="AD70" s="124"/>
      <c r="AE70" s="54"/>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c r="FW70" s="61"/>
      <c r="FX70" s="61"/>
      <c r="FY70" s="61"/>
      <c r="FZ70" s="61"/>
      <c r="GA70" s="61"/>
      <c r="GB70" s="61"/>
      <c r="GC70" s="61"/>
      <c r="GD70" s="61"/>
      <c r="GE70" s="61"/>
      <c r="GF70" s="61"/>
      <c r="GG70" s="61"/>
      <c r="GH70" s="61"/>
      <c r="GI70" s="61"/>
      <c r="GJ70" s="61"/>
      <c r="GK70" s="61"/>
      <c r="GL70" s="61"/>
      <c r="GM70" s="61"/>
      <c r="GN70" s="61"/>
      <c r="GO70" s="61"/>
      <c r="GP70" s="61"/>
      <c r="GQ70" s="61"/>
      <c r="GR70" s="61"/>
      <c r="GS70" s="61"/>
      <c r="GT70" s="61"/>
      <c r="GU70" s="61"/>
      <c r="GV70" s="61"/>
      <c r="GW70" s="61"/>
      <c r="GX70" s="61"/>
      <c r="GY70" s="61"/>
      <c r="GZ70" s="61"/>
      <c r="HA70" s="61"/>
      <c r="HB70" s="61"/>
      <c r="HC70" s="61"/>
      <c r="HD70" s="61"/>
      <c r="HE70" s="61"/>
      <c r="HF70" s="61"/>
      <c r="HG70" s="61"/>
      <c r="HH70" s="61"/>
      <c r="HI70" s="61"/>
      <c r="HJ70" s="61"/>
      <c r="HK70" s="61"/>
      <c r="HL70" s="61"/>
      <c r="HM70" s="61"/>
      <c r="HN70" s="61"/>
      <c r="HO70" s="61"/>
      <c r="HP70" s="61"/>
      <c r="HQ70" s="61"/>
      <c r="HR70" s="61"/>
      <c r="HS70" s="61"/>
      <c r="HT70" s="61"/>
      <c r="HU70" s="61"/>
      <c r="HV70" s="61"/>
      <c r="HW70" s="61"/>
      <c r="HX70" s="61"/>
      <c r="HY70" s="61"/>
      <c r="HZ70" s="61"/>
      <c r="IA70" s="61"/>
      <c r="IB70" s="61"/>
      <c r="IC70" s="61"/>
      <c r="ID70" s="61"/>
      <c r="IE70" s="61"/>
      <c r="IF70" s="61"/>
      <c r="IG70" s="61"/>
      <c r="IH70" s="61"/>
      <c r="II70" s="61"/>
      <c r="IJ70" s="61"/>
      <c r="IK70" s="61"/>
      <c r="IL70" s="61"/>
      <c r="IM70" s="61"/>
      <c r="IN70" s="61"/>
    </row>
    <row r="71" spans="1:248" ht="18" x14ac:dyDescent="0.25">
      <c r="B71" s="271" t="s">
        <v>170</v>
      </c>
      <c r="C71" s="124"/>
      <c r="D71" s="124"/>
      <c r="E71" s="124"/>
      <c r="F71" s="124"/>
      <c r="G71" s="124"/>
      <c r="H71" s="124"/>
      <c r="I71" s="138"/>
      <c r="J71" s="124"/>
      <c r="K71" s="124"/>
      <c r="L71" s="124"/>
      <c r="M71" s="124"/>
      <c r="N71" s="123"/>
      <c r="O71" s="123"/>
      <c r="P71" s="123"/>
      <c r="Q71" s="124"/>
      <c r="R71" s="124"/>
      <c r="S71" s="230" t="s">
        <v>1</v>
      </c>
      <c r="T71" s="124"/>
      <c r="U71" s="124"/>
      <c r="V71" s="124"/>
      <c r="W71" s="230" t="s">
        <v>1</v>
      </c>
      <c r="X71" s="124"/>
      <c r="Y71" s="124"/>
      <c r="Z71" s="124"/>
      <c r="AA71" s="124"/>
      <c r="AB71" s="124"/>
      <c r="AC71" s="124"/>
      <c r="AD71" s="124"/>
      <c r="AE71" s="54"/>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61"/>
      <c r="GB71" s="61"/>
      <c r="GC71" s="61"/>
      <c r="GD71" s="61"/>
      <c r="GE71" s="61"/>
      <c r="GF71" s="61"/>
      <c r="GG71" s="61"/>
      <c r="GH71" s="61"/>
      <c r="GI71" s="61"/>
      <c r="GJ71" s="61"/>
      <c r="GK71" s="61"/>
      <c r="GL71" s="61"/>
      <c r="GM71" s="61"/>
      <c r="GN71" s="61"/>
      <c r="GO71" s="61"/>
      <c r="GP71" s="61"/>
      <c r="GQ71" s="61"/>
      <c r="GR71" s="61"/>
      <c r="GS71" s="61"/>
      <c r="GT71" s="61"/>
      <c r="GU71" s="61"/>
      <c r="GV71" s="61"/>
      <c r="GW71" s="61"/>
      <c r="GX71" s="61"/>
      <c r="GY71" s="61"/>
      <c r="GZ71" s="61"/>
      <c r="HA71" s="61"/>
      <c r="HB71" s="61"/>
      <c r="HC71" s="61"/>
      <c r="HD71" s="61"/>
      <c r="HE71" s="61"/>
      <c r="HF71" s="61"/>
      <c r="HG71" s="61"/>
      <c r="HH71" s="61"/>
      <c r="HI71" s="61"/>
      <c r="HJ71" s="61"/>
      <c r="HK71" s="61"/>
      <c r="HL71" s="61"/>
      <c r="HM71" s="61"/>
      <c r="HN71" s="61"/>
      <c r="HO71" s="61"/>
      <c r="HP71" s="61"/>
      <c r="HQ71" s="61"/>
      <c r="HR71" s="61"/>
      <c r="HS71" s="61"/>
      <c r="HT71" s="61"/>
      <c r="HU71" s="61"/>
      <c r="HV71" s="61"/>
      <c r="HW71" s="61"/>
      <c r="HX71" s="61"/>
      <c r="HY71" s="61"/>
      <c r="HZ71" s="61"/>
      <c r="IA71" s="61"/>
      <c r="IB71" s="61"/>
      <c r="IC71" s="61"/>
      <c r="ID71" s="61"/>
      <c r="IE71" s="61"/>
      <c r="IF71" s="61"/>
      <c r="IG71" s="61"/>
      <c r="IH71" s="61"/>
      <c r="II71" s="61"/>
      <c r="IJ71" s="61"/>
      <c r="IK71" s="61"/>
      <c r="IL71" s="61"/>
      <c r="IM71" s="61"/>
      <c r="IN71" s="61"/>
    </row>
    <row r="72" spans="1:248" ht="30.75" thickBot="1" x14ac:dyDescent="0.45">
      <c r="A72" t="s">
        <v>173</v>
      </c>
      <c r="B72" s="249">
        <f>D72/2.03</f>
        <v>14.492610837438425</v>
      </c>
      <c r="C72">
        <f>B72*A74</f>
        <v>29.497885459602564</v>
      </c>
      <c r="D72" s="249">
        <f>(29.92-(J11/1000))</f>
        <v>29.42</v>
      </c>
      <c r="E72" t="s">
        <v>1</v>
      </c>
      <c r="F72" s="230" t="s">
        <v>1</v>
      </c>
      <c r="G72" s="124"/>
      <c r="H72" s="124"/>
      <c r="I72" s="138"/>
      <c r="J72" s="148" t="s">
        <v>73</v>
      </c>
      <c r="K72" s="149"/>
      <c r="L72" s="149"/>
      <c r="M72" s="149"/>
      <c r="N72" s="150"/>
      <c r="O72" s="150"/>
      <c r="P72" s="150"/>
      <c r="Q72" s="149"/>
      <c r="R72" s="174"/>
      <c r="S72" s="174"/>
      <c r="T72" s="124"/>
      <c r="U72" s="124"/>
      <c r="V72" s="124"/>
      <c r="W72" s="230" t="s">
        <v>1</v>
      </c>
      <c r="X72" s="124"/>
      <c r="Y72" s="124"/>
      <c r="Z72" s="124"/>
      <c r="AA72" s="124"/>
      <c r="AB72" s="124"/>
      <c r="AC72" s="124"/>
      <c r="AD72" s="124"/>
      <c r="AE72" s="54"/>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61"/>
      <c r="GB72" s="61"/>
      <c r="GC72" s="61"/>
      <c r="GD72" s="61"/>
      <c r="GE72" s="61"/>
      <c r="GF72" s="61"/>
      <c r="GG72" s="61"/>
      <c r="GH72" s="61"/>
      <c r="GI72" s="61"/>
      <c r="GJ72" s="61"/>
      <c r="GK72" s="61"/>
      <c r="GL72" s="61"/>
      <c r="GM72" s="61"/>
      <c r="GN72" s="61"/>
      <c r="GO72" s="61"/>
      <c r="GP72" s="61"/>
      <c r="GQ72" s="61"/>
      <c r="GR72" s="61"/>
      <c r="GS72" s="61"/>
      <c r="GT72" s="61"/>
      <c r="GU72" s="61"/>
      <c r="GV72" s="61"/>
      <c r="GW72" s="61"/>
      <c r="GX72" s="61"/>
      <c r="GY72" s="61"/>
      <c r="GZ72" s="61"/>
      <c r="HA72" s="61"/>
      <c r="HB72" s="61"/>
      <c r="HC72" s="61"/>
      <c r="HD72" s="61"/>
      <c r="HE72" s="61"/>
      <c r="HF72" s="61"/>
      <c r="HG72" s="61"/>
      <c r="HH72" s="61"/>
      <c r="HI72" s="61"/>
      <c r="HJ72" s="61"/>
      <c r="HK72" s="61"/>
      <c r="HL72" s="61"/>
      <c r="HM72" s="61"/>
      <c r="HN72" s="61"/>
      <c r="HO72" s="61"/>
      <c r="HP72" s="61"/>
      <c r="HQ72" s="61"/>
      <c r="HR72" s="61"/>
      <c r="HS72" s="61"/>
      <c r="HT72" s="61"/>
      <c r="HU72" s="61"/>
      <c r="HV72" s="61"/>
      <c r="HW72" s="61"/>
      <c r="HX72" s="61"/>
      <c r="HY72" s="61"/>
      <c r="HZ72" s="61"/>
      <c r="IA72" s="61"/>
      <c r="IB72" s="61"/>
      <c r="IC72" s="61"/>
      <c r="ID72" s="61"/>
      <c r="IE72" s="61"/>
      <c r="IF72" s="61"/>
      <c r="IG72" s="61"/>
      <c r="IH72" s="61"/>
      <c r="II72" s="61"/>
      <c r="IJ72" s="61"/>
      <c r="IK72" s="61"/>
      <c r="IL72" s="61"/>
      <c r="IM72" s="61"/>
      <c r="IN72" s="61"/>
    </row>
    <row r="73" spans="1:248" ht="24.75" x14ac:dyDescent="0.2">
      <c r="A73" t="s">
        <v>157</v>
      </c>
      <c r="B73">
        <f>$J$13</f>
        <v>0</v>
      </c>
      <c r="C73">
        <f>B73*A74</f>
        <v>0</v>
      </c>
      <c r="D73">
        <f>(B73+B72)/B72</f>
        <v>1</v>
      </c>
      <c r="E73">
        <f>(D73)^0.283-1</f>
        <v>0</v>
      </c>
      <c r="F73" s="124"/>
      <c r="G73" s="124"/>
      <c r="H73" s="124"/>
      <c r="I73" s="123"/>
      <c r="J73" s="106" t="s">
        <v>2</v>
      </c>
      <c r="K73" s="107" t="s">
        <v>3</v>
      </c>
      <c r="L73" s="107" t="s">
        <v>4</v>
      </c>
      <c r="M73" s="240" t="s">
        <v>129</v>
      </c>
      <c r="N73" s="106" t="s">
        <v>5</v>
      </c>
      <c r="O73" s="107"/>
      <c r="P73" s="107"/>
      <c r="Q73" s="35"/>
      <c r="R73" s="233" t="s">
        <v>124</v>
      </c>
      <c r="S73" s="175"/>
      <c r="T73" s="175"/>
      <c r="U73" s="30"/>
      <c r="V73" s="124"/>
      <c r="W73" s="230" t="s">
        <v>1</v>
      </c>
      <c r="X73" s="124"/>
      <c r="Y73" s="124"/>
      <c r="Z73" s="124"/>
      <c r="AA73" s="124"/>
      <c r="AB73" s="124"/>
      <c r="AC73" s="124"/>
      <c r="AD73" s="124"/>
      <c r="AE73" s="54"/>
    </row>
    <row r="74" spans="1:248" x14ac:dyDescent="0.2">
      <c r="A74">
        <f>29.92/14.7</f>
        <v>2.0353741496598641</v>
      </c>
      <c r="B74"/>
      <c r="C74"/>
      <c r="D74"/>
      <c r="E74"/>
      <c r="F74" s="124"/>
      <c r="G74" s="124"/>
      <c r="H74" s="263" t="s">
        <v>169</v>
      </c>
      <c r="I74" s="138"/>
      <c r="J74" s="42" t="s">
        <v>65</v>
      </c>
      <c r="K74" s="31" t="s">
        <v>6</v>
      </c>
      <c r="L74" s="103">
        <f>M74*32.2</f>
        <v>7.2127999999999998E-2</v>
      </c>
      <c r="M74" s="55">
        <f>LOOKUP(J12,K130:K153,L130:L153)</f>
        <v>2.2399999999999998E-3</v>
      </c>
      <c r="N74" s="39" t="s">
        <v>7</v>
      </c>
      <c r="O74" s="31"/>
      <c r="P74" s="31"/>
      <c r="Q74" s="32" t="s">
        <v>130</v>
      </c>
      <c r="R74" s="231" t="s">
        <v>122</v>
      </c>
      <c r="S74" s="28"/>
      <c r="T74" s="232">
        <v>40</v>
      </c>
      <c r="U74" s="60" t="s">
        <v>1</v>
      </c>
      <c r="V74" s="124"/>
      <c r="W74" s="124"/>
      <c r="X74" s="124"/>
      <c r="Y74" s="124"/>
      <c r="Z74" s="124"/>
      <c r="AA74" s="124"/>
      <c r="AB74" s="124"/>
      <c r="AC74" s="124"/>
      <c r="AD74" s="124"/>
      <c r="AE74" s="54"/>
    </row>
    <row r="75" spans="1:248" x14ac:dyDescent="0.2">
      <c r="A75"/>
      <c r="B75"/>
      <c r="C75" t="s">
        <v>158</v>
      </c>
      <c r="D75"/>
      <c r="E75" t="s">
        <v>159</v>
      </c>
      <c r="F75" s="124"/>
      <c r="G75" s="124"/>
      <c r="H75" s="124"/>
      <c r="I75" s="138" t="s">
        <v>156</v>
      </c>
      <c r="J75" s="262" t="s">
        <v>154</v>
      </c>
      <c r="K75" s="31" t="s">
        <v>6</v>
      </c>
      <c r="L75" s="263">
        <f>B90</f>
        <v>7.1046079999999998E-2</v>
      </c>
      <c r="M75" s="55">
        <f>LOOKUP(J12,K130:K153,N130:N153)</f>
        <v>0.94196804037005877</v>
      </c>
      <c r="N75" s="40" t="s">
        <v>131</v>
      </c>
      <c r="O75" s="172"/>
      <c r="P75" s="172"/>
      <c r="Q75" s="41" t="s">
        <v>9</v>
      </c>
      <c r="R75" s="606" t="s">
        <v>12</v>
      </c>
      <c r="S75" s="607"/>
      <c r="T75" s="246">
        <f>'Power and Cooling'!$I$13</f>
        <v>2</v>
      </c>
      <c r="U75" s="60" t="s">
        <v>1</v>
      </c>
      <c r="V75" s="124"/>
      <c r="W75" s="124"/>
      <c r="X75" s="124"/>
      <c r="Y75" s="230" t="s">
        <v>1</v>
      </c>
      <c r="Z75" s="124"/>
      <c r="AA75" s="124"/>
      <c r="AB75" s="124"/>
      <c r="AC75" s="124"/>
      <c r="AD75" s="124"/>
      <c r="AE75" s="54"/>
    </row>
    <row r="76" spans="1:248" x14ac:dyDescent="0.2">
      <c r="A76" t="s">
        <v>160</v>
      </c>
      <c r="B76">
        <f>$J$12</f>
        <v>90</v>
      </c>
      <c r="C76">
        <f>E73*(B76+460)</f>
        <v>0</v>
      </c>
      <c r="D76"/>
      <c r="E76">
        <f>C76/(B78/100)</f>
        <v>0</v>
      </c>
      <c r="F76" s="124"/>
      <c r="G76" s="124"/>
      <c r="H76" s="261">
        <f>L74*(-3*10^(-5)*$J$11+1)</f>
        <v>7.1046079999999998E-2</v>
      </c>
      <c r="I76" s="138"/>
      <c r="J76" s="39" t="s">
        <v>8</v>
      </c>
      <c r="K76" s="31" t="s">
        <v>6</v>
      </c>
      <c r="L76" s="59">
        <v>44.883000000000003</v>
      </c>
      <c r="M76" s="56"/>
      <c r="N76" s="42" t="s">
        <v>10</v>
      </c>
      <c r="O76" s="173"/>
      <c r="P76" s="173"/>
      <c r="Q76" s="43" t="s">
        <v>11</v>
      </c>
      <c r="R76" s="25" t="s">
        <v>119</v>
      </c>
      <c r="S76" s="28"/>
      <c r="T76" s="212">
        <v>3</v>
      </c>
      <c r="U76" s="32"/>
      <c r="V76" s="124"/>
      <c r="W76" s="124"/>
      <c r="X76" s="124"/>
      <c r="Y76" s="124"/>
      <c r="Z76" s="124"/>
      <c r="AA76" s="124"/>
      <c r="AB76" s="124"/>
      <c r="AC76" s="124"/>
      <c r="AD76" s="124"/>
      <c r="AE76" s="54"/>
    </row>
    <row r="77" spans="1:248" x14ac:dyDescent="0.2">
      <c r="A77"/>
      <c r="B77"/>
      <c r="C77"/>
      <c r="D77"/>
      <c r="E77"/>
      <c r="F77" s="124"/>
      <c r="G77" s="124"/>
      <c r="H77" s="124"/>
      <c r="I77" s="138"/>
      <c r="J77" s="46" t="s">
        <v>82</v>
      </c>
      <c r="K77" s="47" t="s">
        <v>83</v>
      </c>
      <c r="L77" s="104"/>
      <c r="M77" s="57">
        <f>$J$12</f>
        <v>90</v>
      </c>
      <c r="N77" s="33"/>
      <c r="O77" s="34"/>
      <c r="P77" s="34"/>
      <c r="Q77" s="35"/>
      <c r="R77" s="231" t="s">
        <v>120</v>
      </c>
      <c r="S77" s="28"/>
      <c r="T77" s="212">
        <f>Vt_Rotor*Faces_per_rotor</f>
        <v>120</v>
      </c>
      <c r="U77" s="236" t="s">
        <v>123</v>
      </c>
      <c r="V77" s="124"/>
      <c r="W77" s="124"/>
      <c r="X77" s="124"/>
      <c r="Y77" s="124"/>
      <c r="Z77" s="124"/>
      <c r="AA77" s="124"/>
      <c r="AB77" s="124"/>
      <c r="AC77" s="124"/>
      <c r="AD77" s="124"/>
      <c r="AE77" s="54"/>
    </row>
    <row r="78" spans="1:248" x14ac:dyDescent="0.2">
      <c r="A78" s="574" t="s">
        <v>161</v>
      </c>
      <c r="B78">
        <v>65</v>
      </c>
      <c r="C78"/>
      <c r="D78"/>
      <c r="E78"/>
      <c r="F78" s="124"/>
      <c r="G78" s="124"/>
      <c r="H78" s="124"/>
      <c r="I78" s="138"/>
      <c r="J78" s="48" t="s">
        <v>13</v>
      </c>
      <c r="K78" s="31"/>
      <c r="L78" s="59">
        <f>L79/M80</f>
        <v>7.407407407407407E-2</v>
      </c>
      <c r="M78" s="56"/>
      <c r="N78" s="33"/>
      <c r="O78" s="34"/>
      <c r="P78" s="34"/>
      <c r="Q78" s="35"/>
      <c r="R78" s="241" t="s">
        <v>132</v>
      </c>
      <c r="S78" s="28"/>
      <c r="T78" s="232">
        <f>Total_Volume_Swept_per_Rotor*Number_Rotors</f>
        <v>240</v>
      </c>
      <c r="U78" s="32"/>
      <c r="V78" s="124"/>
      <c r="W78" s="124"/>
      <c r="X78" s="124"/>
      <c r="Y78" s="230" t="s">
        <v>1</v>
      </c>
      <c r="Z78" s="124"/>
      <c r="AA78" s="124"/>
      <c r="AB78" s="124"/>
      <c r="AC78" s="124"/>
      <c r="AD78" s="124"/>
      <c r="AE78" s="54"/>
    </row>
    <row r="79" spans="1:248" ht="18.75" x14ac:dyDescent="0.25">
      <c r="A79" s="574"/>
      <c r="B79"/>
      <c r="C79"/>
      <c r="D79"/>
      <c r="E79"/>
      <c r="F79" s="124"/>
      <c r="G79" s="124"/>
      <c r="H79" s="124"/>
      <c r="I79" s="139" t="s">
        <v>1</v>
      </c>
      <c r="J79" s="39" t="s">
        <v>14</v>
      </c>
      <c r="K79" s="47"/>
      <c r="L79" s="105">
        <v>1</v>
      </c>
      <c r="M79" s="56"/>
      <c r="N79" s="33"/>
      <c r="O79" s="34"/>
      <c r="P79" s="34"/>
      <c r="Q79" s="35"/>
      <c r="R79" s="44" t="s">
        <v>121</v>
      </c>
      <c r="S79" s="234"/>
      <c r="T79" s="232">
        <f>VCID/1728</f>
        <v>0.1388888888888889</v>
      </c>
      <c r="U79" s="35"/>
      <c r="V79" s="124"/>
      <c r="W79" s="124"/>
      <c r="X79" s="230" t="s">
        <v>1</v>
      </c>
      <c r="Y79" s="124"/>
      <c r="Z79" s="124"/>
      <c r="AA79" s="124"/>
      <c r="AB79" s="124"/>
      <c r="AC79" s="124"/>
      <c r="AD79" s="124"/>
      <c r="AE79" s="54"/>
    </row>
    <row r="80" spans="1:248" ht="13.5" thickBot="1" x14ac:dyDescent="0.25">
      <c r="A80"/>
      <c r="B80"/>
      <c r="C80"/>
      <c r="D80"/>
      <c r="E80"/>
      <c r="F80" s="124"/>
      <c r="G80" s="124"/>
      <c r="H80" s="124"/>
      <c r="I80" s="138"/>
      <c r="J80" s="49" t="s">
        <v>15</v>
      </c>
      <c r="K80" s="50"/>
      <c r="L80" s="37"/>
      <c r="M80" s="58">
        <f>$J$7</f>
        <v>13.5</v>
      </c>
      <c r="N80" s="36"/>
      <c r="O80" s="37"/>
      <c r="P80" s="37"/>
      <c r="Q80" s="38"/>
      <c r="R80" s="36"/>
      <c r="S80" s="37"/>
      <c r="T80" s="235"/>
      <c r="U80" s="38"/>
      <c r="V80" s="124"/>
      <c r="W80" s="124"/>
      <c r="X80" s="124"/>
      <c r="Y80" s="124"/>
      <c r="Z80" s="124"/>
      <c r="AA80" s="124"/>
      <c r="AB80" s="124"/>
      <c r="AC80" s="124"/>
      <c r="AD80" s="124"/>
      <c r="AE80" s="54"/>
    </row>
    <row r="81" spans="1:46" x14ac:dyDescent="0.2">
      <c r="A81" t="s">
        <v>162</v>
      </c>
      <c r="B81">
        <f>B76+E76</f>
        <v>90</v>
      </c>
      <c r="C81"/>
      <c r="D81"/>
      <c r="E81"/>
      <c r="F81" s="124"/>
      <c r="G81" s="124"/>
      <c r="H81" s="124"/>
      <c r="I81" s="140" t="s">
        <v>1</v>
      </c>
      <c r="J81" s="124"/>
      <c r="K81" s="124"/>
      <c r="L81" s="124"/>
      <c r="M81" s="124"/>
      <c r="N81" s="123"/>
      <c r="O81" s="123"/>
      <c r="P81" s="123"/>
      <c r="Q81" s="124"/>
      <c r="R81" s="124"/>
      <c r="S81" s="124"/>
      <c r="T81" s="124"/>
      <c r="U81" s="124"/>
      <c r="V81" s="124"/>
      <c r="W81" s="124"/>
      <c r="X81" s="124"/>
      <c r="Y81" s="124"/>
      <c r="Z81" s="124"/>
      <c r="AA81" s="124"/>
      <c r="AB81" s="124"/>
      <c r="AC81" s="124"/>
      <c r="AD81" s="124"/>
      <c r="AE81" s="54"/>
    </row>
    <row r="82" spans="1:46" x14ac:dyDescent="0.2">
      <c r="A82"/>
      <c r="B82"/>
      <c r="C82"/>
      <c r="D82"/>
      <c r="E82"/>
      <c r="F82" s="124"/>
      <c r="G82" s="124"/>
      <c r="H82" s="124"/>
      <c r="I82" s="140"/>
      <c r="J82" s="62" t="s">
        <v>41</v>
      </c>
      <c r="K82" s="24"/>
      <c r="L82" s="24"/>
      <c r="M82" s="24"/>
      <c r="N82" s="123"/>
      <c r="O82" s="123"/>
      <c r="P82" s="123"/>
      <c r="Q82" s="124"/>
      <c r="R82" s="124"/>
      <c r="S82" s="124"/>
      <c r="T82" s="230" t="s">
        <v>1</v>
      </c>
      <c r="U82" s="124"/>
      <c r="V82" s="124"/>
      <c r="W82" s="124"/>
      <c r="X82" s="124"/>
      <c r="Y82" s="124"/>
      <c r="Z82" s="124"/>
      <c r="AA82" s="124"/>
      <c r="AB82" s="124"/>
      <c r="AC82" s="124"/>
      <c r="AD82" s="124"/>
      <c r="AE82" s="54"/>
    </row>
    <row r="83" spans="1:46" x14ac:dyDescent="0.2">
      <c r="A83"/>
      <c r="B83"/>
      <c r="C83"/>
      <c r="D83"/>
      <c r="E83"/>
      <c r="F83" s="124"/>
      <c r="G83" s="124"/>
      <c r="H83" s="124"/>
      <c r="I83" s="140"/>
      <c r="J83" s="124"/>
      <c r="K83" s="124"/>
      <c r="L83" s="124"/>
      <c r="M83" s="124"/>
      <c r="N83" s="123"/>
      <c r="O83" s="123"/>
      <c r="P83" s="123"/>
      <c r="Q83" s="124"/>
      <c r="R83" s="124"/>
      <c r="S83" s="124"/>
      <c r="T83" s="124"/>
      <c r="U83" s="124"/>
      <c r="V83" s="230" t="s">
        <v>1</v>
      </c>
      <c r="W83" s="124"/>
      <c r="X83" s="124"/>
      <c r="Y83" s="124"/>
      <c r="Z83" s="124"/>
      <c r="AA83" s="124"/>
      <c r="AB83" s="124"/>
      <c r="AC83" s="124"/>
      <c r="AD83" s="124"/>
      <c r="AE83" s="54"/>
    </row>
    <row r="84" spans="1:46" x14ac:dyDescent="0.2">
      <c r="A84"/>
      <c r="B84"/>
      <c r="C84" t="s">
        <v>163</v>
      </c>
      <c r="D84" t="s">
        <v>164</v>
      </c>
      <c r="E84"/>
      <c r="F84" s="124"/>
      <c r="G84" s="124"/>
      <c r="H84" s="124"/>
      <c r="I84" s="140"/>
      <c r="J84" s="51" t="s">
        <v>17</v>
      </c>
      <c r="K84" s="28"/>
      <c r="L84" s="25" t="s">
        <v>1</v>
      </c>
      <c r="M84" s="54"/>
      <c r="N84" s="123"/>
      <c r="O84" s="123"/>
      <c r="P84" s="123"/>
      <c r="Q84" s="124"/>
      <c r="R84" s="124"/>
      <c r="S84" s="124"/>
      <c r="T84" s="230" t="s">
        <v>1</v>
      </c>
      <c r="U84" s="124"/>
      <c r="V84" s="124"/>
      <c r="W84" s="124"/>
      <c r="X84" s="124"/>
      <c r="Y84" s="124"/>
      <c r="Z84" s="124"/>
      <c r="AA84" s="124"/>
      <c r="AB84" s="124"/>
      <c r="AC84" s="124"/>
      <c r="AD84" s="124"/>
      <c r="AE84" s="54"/>
    </row>
    <row r="85" spans="1:46" x14ac:dyDescent="0.2">
      <c r="A85" t="s">
        <v>165</v>
      </c>
      <c r="B85">
        <f>C85*D85</f>
        <v>1</v>
      </c>
      <c r="C85">
        <f>(B76+460)/(B81+460)</f>
        <v>1</v>
      </c>
      <c r="D85">
        <f>D73</f>
        <v>1</v>
      </c>
      <c r="E85"/>
      <c r="F85" s="124"/>
      <c r="G85" s="124"/>
      <c r="H85" s="124"/>
      <c r="I85" s="138"/>
      <c r="J85" s="52" t="s">
        <v>42</v>
      </c>
      <c r="K85" s="28"/>
      <c r="L85" s="28"/>
      <c r="M85" s="19">
        <v>0.95</v>
      </c>
      <c r="N85" s="123" t="s">
        <v>338</v>
      </c>
      <c r="O85" s="123"/>
      <c r="P85" s="123"/>
      <c r="Q85" s="124"/>
      <c r="R85" s="124"/>
      <c r="S85" s="124"/>
      <c r="T85" s="124"/>
      <c r="U85" s="124"/>
      <c r="V85" s="124"/>
      <c r="W85" s="124"/>
      <c r="X85" s="124"/>
      <c r="Y85" s="124"/>
      <c r="Z85" s="124"/>
      <c r="AA85" s="124"/>
      <c r="AB85" s="124"/>
      <c r="AC85" s="124"/>
      <c r="AD85" s="124"/>
      <c r="AE85" s="54"/>
    </row>
    <row r="86" spans="1:46" x14ac:dyDescent="0.2">
      <c r="A86"/>
      <c r="B86"/>
      <c r="C86"/>
      <c r="D86"/>
      <c r="E86"/>
      <c r="F86" s="124"/>
      <c r="G86" s="124"/>
      <c r="H86" s="124"/>
      <c r="I86" s="138"/>
      <c r="J86" s="53" t="s">
        <v>16</v>
      </c>
      <c r="K86" s="28"/>
      <c r="L86" s="28">
        <f>'Manifold Pressure'!$F$8/L74</f>
        <v>0.97126589631646965</v>
      </c>
      <c r="M86" s="20">
        <f>L86</f>
        <v>0.97126589631646965</v>
      </c>
      <c r="N86" s="123" t="s">
        <v>339</v>
      </c>
      <c r="O86" s="123"/>
      <c r="P86" s="123"/>
      <c r="Q86" s="124"/>
      <c r="R86" s="124"/>
      <c r="S86" s="124"/>
      <c r="T86" s="124"/>
      <c r="U86" s="124"/>
      <c r="V86" s="124"/>
      <c r="W86" s="124"/>
      <c r="X86" s="124"/>
      <c r="Y86" s="124"/>
      <c r="Z86" s="124"/>
      <c r="AA86" s="124"/>
      <c r="AB86" s="124"/>
      <c r="AC86" s="124"/>
      <c r="AD86" s="124"/>
      <c r="AE86" s="54"/>
    </row>
    <row r="87" spans="1:46" x14ac:dyDescent="0.2">
      <c r="A87" t="s">
        <v>166</v>
      </c>
      <c r="B87" s="103">
        <f>L74</f>
        <v>7.2127999999999998E-2</v>
      </c>
      <c r="C87"/>
      <c r="D87"/>
      <c r="E87"/>
      <c r="F87" s="124"/>
      <c r="G87" s="124"/>
      <c r="H87" s="124"/>
      <c r="I87" s="138"/>
      <c r="J87" s="53" t="s">
        <v>39</v>
      </c>
      <c r="K87" s="28"/>
      <c r="L87" s="24"/>
      <c r="M87" s="21">
        <f>$J$8</f>
        <v>6800</v>
      </c>
      <c r="N87" s="123"/>
      <c r="O87" s="123"/>
      <c r="P87" s="123"/>
      <c r="Q87" s="124"/>
      <c r="R87" s="124"/>
      <c r="S87" s="124"/>
      <c r="T87" s="124"/>
      <c r="U87" s="124"/>
      <c r="V87" s="124"/>
      <c r="W87" s="124"/>
      <c r="X87" s="124"/>
      <c r="Y87" s="124"/>
      <c r="Z87" s="124"/>
      <c r="AA87" s="124"/>
      <c r="AB87" s="124"/>
      <c r="AC87" s="124"/>
      <c r="AD87" s="124"/>
      <c r="AE87" s="54"/>
    </row>
    <row r="88" spans="1:46" x14ac:dyDescent="0.2">
      <c r="A88"/>
      <c r="B88"/>
      <c r="C88"/>
      <c r="D88"/>
      <c r="E88"/>
      <c r="F88" s="124"/>
      <c r="G88" s="124"/>
      <c r="H88" s="124"/>
      <c r="I88" s="138"/>
      <c r="J88" s="53" t="s">
        <v>40</v>
      </c>
      <c r="K88" s="28"/>
      <c r="L88" s="24"/>
      <c r="M88" s="21">
        <f>$J$9</f>
        <v>500</v>
      </c>
      <c r="N88" s="123" t="s">
        <v>1</v>
      </c>
      <c r="O88" s="123"/>
      <c r="P88" s="123"/>
      <c r="Q88" s="124"/>
      <c r="R88" s="124"/>
      <c r="S88" s="124"/>
      <c r="T88" s="124"/>
      <c r="U88" s="124"/>
      <c r="V88" s="124"/>
      <c r="W88" s="124"/>
      <c r="X88" s="124"/>
      <c r="Y88" s="124"/>
      <c r="Z88" s="124"/>
      <c r="AA88" s="124"/>
      <c r="AB88" s="124"/>
      <c r="AC88" s="124"/>
      <c r="AD88" s="124"/>
      <c r="AE88" s="54"/>
    </row>
    <row r="89" spans="1:46" ht="13.5" thickBot="1" x14ac:dyDescent="0.25">
      <c r="A89" t="s">
        <v>167</v>
      </c>
      <c r="B89" s="264">
        <f>'Rotor HP'!$H$76</f>
        <v>7.1046079999999998E-2</v>
      </c>
      <c r="C89"/>
      <c r="D89"/>
      <c r="E89"/>
      <c r="F89" s="124"/>
      <c r="G89" s="124"/>
      <c r="H89" s="124"/>
      <c r="I89" s="141"/>
      <c r="J89" s="151"/>
      <c r="K89" s="124"/>
      <c r="L89" s="152"/>
      <c r="M89" s="153"/>
      <c r="N89" s="123"/>
      <c r="O89" s="123"/>
      <c r="P89" s="123"/>
      <c r="Q89" s="124"/>
      <c r="R89" s="124"/>
      <c r="S89" s="124"/>
      <c r="T89" s="124"/>
      <c r="U89" s="124"/>
      <c r="V89" s="124"/>
      <c r="W89" s="124"/>
      <c r="X89" s="124"/>
      <c r="Y89" s="124"/>
      <c r="Z89" s="124"/>
      <c r="AA89" s="124"/>
      <c r="AB89" s="124"/>
      <c r="AC89" s="124"/>
      <c r="AD89" s="124"/>
      <c r="AE89" s="54"/>
    </row>
    <row r="90" spans="1:46" s="2" customFormat="1" ht="16.5" thickTop="1" x14ac:dyDescent="0.25">
      <c r="A90" t="s">
        <v>168</v>
      </c>
      <c r="B90">
        <f>B85*B89</f>
        <v>7.1046079999999998E-2</v>
      </c>
      <c r="C90"/>
      <c r="D90"/>
      <c r="E90"/>
      <c r="F90" s="142"/>
      <c r="G90" s="597" t="s">
        <v>57</v>
      </c>
      <c r="H90" s="591"/>
      <c r="I90" s="591"/>
      <c r="J90" s="63" t="s">
        <v>43</v>
      </c>
      <c r="K90" s="64"/>
      <c r="L90" s="22"/>
      <c r="M90" s="68"/>
      <c r="N90" s="644" t="s">
        <v>84</v>
      </c>
      <c r="O90" s="645"/>
      <c r="P90" s="646"/>
      <c r="Q90" s="91">
        <f>RPM_Start</f>
        <v>6800</v>
      </c>
      <c r="R90" s="91">
        <f t="shared" ref="R90:AD90" si="5">Q90+RPM_Step</f>
        <v>7300</v>
      </c>
      <c r="S90" s="91">
        <f t="shared" si="5"/>
        <v>7800</v>
      </c>
      <c r="T90" s="91">
        <f t="shared" si="5"/>
        <v>8300</v>
      </c>
      <c r="U90" s="91">
        <f t="shared" si="5"/>
        <v>8800</v>
      </c>
      <c r="V90" s="91">
        <f t="shared" si="5"/>
        <v>9300</v>
      </c>
      <c r="W90" s="91">
        <f t="shared" si="5"/>
        <v>9800</v>
      </c>
      <c r="X90" s="91">
        <f t="shared" si="5"/>
        <v>10300</v>
      </c>
      <c r="Y90" s="91">
        <f t="shared" si="5"/>
        <v>10800</v>
      </c>
      <c r="Z90" s="91">
        <f t="shared" si="5"/>
        <v>11300</v>
      </c>
      <c r="AA90" s="91">
        <f t="shared" si="5"/>
        <v>11800</v>
      </c>
      <c r="AB90" s="91">
        <f t="shared" si="5"/>
        <v>12300</v>
      </c>
      <c r="AC90" s="91">
        <f t="shared" si="5"/>
        <v>12800</v>
      </c>
      <c r="AD90" s="92">
        <f t="shared" si="5"/>
        <v>13300</v>
      </c>
      <c r="AE90" s="160"/>
      <c r="AF90" s="3" t="s">
        <v>0</v>
      </c>
      <c r="AG90" s="3">
        <f>Q90</f>
        <v>6800</v>
      </c>
      <c r="AH90" s="3">
        <f t="shared" ref="AH90:AT90" si="6">R90</f>
        <v>7300</v>
      </c>
      <c r="AI90" s="3">
        <f t="shared" si="6"/>
        <v>7800</v>
      </c>
      <c r="AJ90" s="3">
        <f t="shared" si="6"/>
        <v>8300</v>
      </c>
      <c r="AK90" s="3">
        <f t="shared" si="6"/>
        <v>8800</v>
      </c>
      <c r="AL90" s="3">
        <f t="shared" si="6"/>
        <v>9300</v>
      </c>
      <c r="AM90" s="3">
        <f t="shared" si="6"/>
        <v>9800</v>
      </c>
      <c r="AN90" s="3">
        <f t="shared" si="6"/>
        <v>10300</v>
      </c>
      <c r="AO90" s="3">
        <f t="shared" si="6"/>
        <v>10800</v>
      </c>
      <c r="AP90" s="3">
        <f t="shared" si="6"/>
        <v>11300</v>
      </c>
      <c r="AQ90" s="3">
        <f t="shared" si="6"/>
        <v>11800</v>
      </c>
      <c r="AR90" s="3">
        <f t="shared" si="6"/>
        <v>12300</v>
      </c>
      <c r="AS90" s="3">
        <f t="shared" si="6"/>
        <v>12800</v>
      </c>
      <c r="AT90" s="3">
        <f t="shared" si="6"/>
        <v>13300</v>
      </c>
    </row>
    <row r="91" spans="1:46" ht="15.75" x14ac:dyDescent="0.25">
      <c r="B91" s="124"/>
      <c r="C91" s="124"/>
      <c r="D91" s="124"/>
      <c r="E91" s="124"/>
      <c r="F91" s="124"/>
      <c r="G91" s="590" t="s">
        <v>58</v>
      </c>
      <c r="H91" s="591"/>
      <c r="I91" s="591"/>
      <c r="J91" s="23" t="s">
        <v>38</v>
      </c>
      <c r="K91" s="24">
        <v>2.17</v>
      </c>
      <c r="L91" s="28"/>
      <c r="M91" s="54"/>
      <c r="N91" s="594" t="s">
        <v>85</v>
      </c>
      <c r="O91" s="595"/>
      <c r="P91" s="591"/>
      <c r="Q91" s="78">
        <f t="shared" ref="Q91:AD91" si="7">Q90/$K91</f>
        <v>3133.6405529953918</v>
      </c>
      <c r="R91" s="78">
        <f t="shared" si="7"/>
        <v>3364.0552995391704</v>
      </c>
      <c r="S91" s="78">
        <f t="shared" si="7"/>
        <v>3594.4700460829495</v>
      </c>
      <c r="T91" s="78">
        <f t="shared" si="7"/>
        <v>3824.8847926267281</v>
      </c>
      <c r="U91" s="78">
        <f t="shared" si="7"/>
        <v>4055.2995391705072</v>
      </c>
      <c r="V91" s="78">
        <f t="shared" si="7"/>
        <v>4285.7142857142862</v>
      </c>
      <c r="W91" s="78">
        <f t="shared" si="7"/>
        <v>4516.1290322580644</v>
      </c>
      <c r="X91" s="78">
        <f t="shared" si="7"/>
        <v>4746.5437788018435</v>
      </c>
      <c r="Y91" s="78">
        <f t="shared" si="7"/>
        <v>4976.9585253456225</v>
      </c>
      <c r="Z91" s="78">
        <f t="shared" si="7"/>
        <v>5207.3732718894007</v>
      </c>
      <c r="AA91" s="78">
        <f t="shared" si="7"/>
        <v>5437.7880184331798</v>
      </c>
      <c r="AB91" s="78">
        <f t="shared" si="7"/>
        <v>5668.2027649769589</v>
      </c>
      <c r="AC91" s="78">
        <f t="shared" si="7"/>
        <v>5898.6175115207379</v>
      </c>
      <c r="AD91" s="79">
        <f t="shared" si="7"/>
        <v>6129.0322580645161</v>
      </c>
      <c r="AE91" s="161"/>
      <c r="AF91" s="243" t="s">
        <v>138</v>
      </c>
      <c r="AG91" s="4">
        <f>Q92</f>
        <v>299.07407407407408</v>
      </c>
      <c r="AH91" s="4">
        <f t="shared" ref="AH91:AT91" si="8">R92</f>
        <v>321.06481481481484</v>
      </c>
      <c r="AI91" s="4">
        <f t="shared" si="8"/>
        <v>343.0555555555556</v>
      </c>
      <c r="AJ91" s="4">
        <f t="shared" si="8"/>
        <v>365.0462962962963</v>
      </c>
      <c r="AK91" s="4">
        <f t="shared" si="8"/>
        <v>387.03703703703701</v>
      </c>
      <c r="AL91" s="4">
        <f t="shared" si="8"/>
        <v>409.02777777777777</v>
      </c>
      <c r="AM91" s="4">
        <f t="shared" si="8"/>
        <v>431.01851851851853</v>
      </c>
      <c r="AN91" s="4">
        <f t="shared" si="8"/>
        <v>453.0092592592593</v>
      </c>
      <c r="AO91" s="4">
        <f t="shared" si="8"/>
        <v>475</v>
      </c>
      <c r="AP91" s="4">
        <f t="shared" si="8"/>
        <v>496.9907407407407</v>
      </c>
      <c r="AQ91" s="4">
        <f t="shared" si="8"/>
        <v>518.98148148148152</v>
      </c>
      <c r="AR91" s="4">
        <f t="shared" si="8"/>
        <v>540.97222222222229</v>
      </c>
      <c r="AS91" s="4">
        <f t="shared" si="8"/>
        <v>562.96296296296293</v>
      </c>
      <c r="AT91" s="4">
        <f t="shared" si="8"/>
        <v>584.9537037037037</v>
      </c>
    </row>
    <row r="92" spans="1:46" ht="15.75" x14ac:dyDescent="0.25">
      <c r="B92" s="124"/>
      <c r="C92" s="124"/>
      <c r="D92" s="124"/>
      <c r="E92" s="124"/>
      <c r="F92" s="124"/>
      <c r="G92" s="590" t="s">
        <v>59</v>
      </c>
      <c r="H92" s="591"/>
      <c r="I92" s="591"/>
      <c r="J92" s="24" t="s">
        <v>18</v>
      </c>
      <c r="K92" s="28"/>
      <c r="L92" s="28"/>
      <c r="M92" s="270" t="s">
        <v>1</v>
      </c>
      <c r="N92" s="594" t="s">
        <v>18</v>
      </c>
      <c r="O92" s="595"/>
      <c r="P92" s="591"/>
      <c r="Q92" s="78">
        <f>(AirFlow_per_Rotor_Rev*Ve)*Q90/3</f>
        <v>299.07407407407408</v>
      </c>
      <c r="R92" s="78">
        <f t="shared" ref="R92:AD92" si="9">(AirFlow_per_Rotor_Rev*Ve)*R90/3</f>
        <v>321.06481481481484</v>
      </c>
      <c r="S92" s="78">
        <f t="shared" si="9"/>
        <v>343.0555555555556</v>
      </c>
      <c r="T92" s="78">
        <f t="shared" si="9"/>
        <v>365.0462962962963</v>
      </c>
      <c r="U92" s="78">
        <f t="shared" si="9"/>
        <v>387.03703703703701</v>
      </c>
      <c r="V92" s="78">
        <f t="shared" si="9"/>
        <v>409.02777777777777</v>
      </c>
      <c r="W92" s="78">
        <f t="shared" si="9"/>
        <v>431.01851851851853</v>
      </c>
      <c r="X92" s="78">
        <f t="shared" si="9"/>
        <v>453.0092592592593</v>
      </c>
      <c r="Y92" s="78">
        <f t="shared" si="9"/>
        <v>475</v>
      </c>
      <c r="Z92" s="78">
        <f t="shared" si="9"/>
        <v>496.9907407407407</v>
      </c>
      <c r="AA92" s="78">
        <f t="shared" si="9"/>
        <v>518.98148148148152</v>
      </c>
      <c r="AB92" s="78">
        <f t="shared" si="9"/>
        <v>540.97222222222229</v>
      </c>
      <c r="AC92" s="78">
        <f t="shared" si="9"/>
        <v>562.96296296296293</v>
      </c>
      <c r="AD92" s="78">
        <f t="shared" si="9"/>
        <v>584.9537037037037</v>
      </c>
      <c r="AE92" s="54"/>
      <c r="AF92" s="244" t="s">
        <v>140</v>
      </c>
      <c r="AG92" s="247">
        <v>1.25</v>
      </c>
      <c r="AH92" s="1">
        <f>AG92</f>
        <v>1.25</v>
      </c>
      <c r="AI92" s="1">
        <f t="shared" ref="AI92:AT92" si="10">AH92</f>
        <v>1.25</v>
      </c>
      <c r="AJ92" s="1">
        <f t="shared" si="10"/>
        <v>1.25</v>
      </c>
      <c r="AK92" s="1">
        <f t="shared" si="10"/>
        <v>1.25</v>
      </c>
      <c r="AL92" s="1">
        <f t="shared" si="10"/>
        <v>1.25</v>
      </c>
      <c r="AM92" s="1">
        <f t="shared" si="10"/>
        <v>1.25</v>
      </c>
      <c r="AN92" s="1">
        <f t="shared" si="10"/>
        <v>1.25</v>
      </c>
      <c r="AO92" s="1">
        <f t="shared" si="10"/>
        <v>1.25</v>
      </c>
      <c r="AP92" s="1">
        <f t="shared" si="10"/>
        <v>1.25</v>
      </c>
      <c r="AQ92" s="1">
        <f t="shared" si="10"/>
        <v>1.25</v>
      </c>
      <c r="AR92" s="1">
        <f t="shared" si="10"/>
        <v>1.25</v>
      </c>
      <c r="AS92" s="1">
        <f t="shared" si="10"/>
        <v>1.25</v>
      </c>
      <c r="AT92" s="1">
        <f t="shared" si="10"/>
        <v>1.25</v>
      </c>
    </row>
    <row r="93" spans="1:46" s="5" customFormat="1" ht="15.75" x14ac:dyDescent="0.25">
      <c r="A93" s="143"/>
      <c r="B93" s="143"/>
      <c r="C93" s="143"/>
      <c r="D93" s="143"/>
      <c r="E93" s="143"/>
      <c r="F93" s="143"/>
      <c r="G93" s="596" t="s">
        <v>133</v>
      </c>
      <c r="H93" s="591"/>
      <c r="I93" s="591"/>
      <c r="J93" s="29" t="s">
        <v>19</v>
      </c>
      <c r="K93" s="65"/>
      <c r="L93" s="66" t="s">
        <v>1</v>
      </c>
      <c r="M93" s="18" t="s">
        <v>1</v>
      </c>
      <c r="N93" s="594" t="s">
        <v>86</v>
      </c>
      <c r="O93" s="595"/>
      <c r="P93" s="591"/>
      <c r="Q93" s="80">
        <f>Q92*Pa*Vt</f>
        <v>20.951773798104746</v>
      </c>
      <c r="R93" s="80">
        <f t="shared" ref="R93:AD93" si="11">R92*Pa*Vt</f>
        <v>22.492345400906565</v>
      </c>
      <c r="S93" s="80">
        <f t="shared" si="11"/>
        <v>24.032917003708388</v>
      </c>
      <c r="T93" s="80">
        <f t="shared" si="11"/>
        <v>25.573488606510203</v>
      </c>
      <c r="U93" s="80">
        <f t="shared" si="11"/>
        <v>27.114060209312022</v>
      </c>
      <c r="V93" s="80">
        <f t="shared" si="11"/>
        <v>28.654631812113841</v>
      </c>
      <c r="W93" s="80">
        <f t="shared" si="11"/>
        <v>30.195203414915664</v>
      </c>
      <c r="X93" s="80">
        <f t="shared" si="11"/>
        <v>31.735775017717486</v>
      </c>
      <c r="Y93" s="80">
        <f t="shared" si="11"/>
        <v>33.276346620519298</v>
      </c>
      <c r="Z93" s="80">
        <f t="shared" si="11"/>
        <v>34.816918223321117</v>
      </c>
      <c r="AA93" s="80">
        <f t="shared" si="11"/>
        <v>36.357489826122944</v>
      </c>
      <c r="AB93" s="80">
        <f t="shared" si="11"/>
        <v>37.898061428924763</v>
      </c>
      <c r="AC93" s="80">
        <f t="shared" si="11"/>
        <v>39.438633031726575</v>
      </c>
      <c r="AD93" s="80">
        <f t="shared" si="11"/>
        <v>40.979204634528401</v>
      </c>
      <c r="AE93" s="162"/>
      <c r="AF93" s="245" t="s">
        <v>139</v>
      </c>
      <c r="AG93" s="248">
        <v>2</v>
      </c>
      <c r="AH93" s="5">
        <f>AG93</f>
        <v>2</v>
      </c>
      <c r="AI93" s="5">
        <f t="shared" ref="AI93:AT93" si="12">AH93</f>
        <v>2</v>
      </c>
      <c r="AJ93" s="5">
        <f t="shared" si="12"/>
        <v>2</v>
      </c>
      <c r="AK93" s="5">
        <f t="shared" si="12"/>
        <v>2</v>
      </c>
      <c r="AL93" s="5">
        <f t="shared" si="12"/>
        <v>2</v>
      </c>
      <c r="AM93" s="5">
        <f t="shared" si="12"/>
        <v>2</v>
      </c>
      <c r="AN93" s="5">
        <f t="shared" si="12"/>
        <v>2</v>
      </c>
      <c r="AO93" s="5">
        <f t="shared" si="12"/>
        <v>2</v>
      </c>
      <c r="AP93" s="5">
        <v>2</v>
      </c>
      <c r="AQ93" s="5">
        <f t="shared" si="12"/>
        <v>2</v>
      </c>
      <c r="AR93" s="5">
        <f t="shared" si="12"/>
        <v>2</v>
      </c>
      <c r="AS93" s="5">
        <f t="shared" si="12"/>
        <v>2</v>
      </c>
      <c r="AT93" s="5">
        <f t="shared" si="12"/>
        <v>2</v>
      </c>
    </row>
    <row r="94" spans="1:46" ht="15.75" x14ac:dyDescent="0.25">
      <c r="B94" s="124"/>
      <c r="C94" s="124"/>
      <c r="D94" s="124"/>
      <c r="E94" s="124"/>
      <c r="F94" s="124"/>
      <c r="G94" s="597" t="s">
        <v>60</v>
      </c>
      <c r="H94" s="591"/>
      <c r="I94" s="591"/>
      <c r="J94" s="23" t="s">
        <v>20</v>
      </c>
      <c r="K94" s="28"/>
      <c r="L94" s="28"/>
      <c r="M94" s="54"/>
      <c r="N94" s="594" t="s">
        <v>87</v>
      </c>
      <c r="O94" s="595"/>
      <c r="P94" s="591"/>
      <c r="Q94" s="81">
        <f t="shared" ref="Q94:AD94" si="13">Q93*F_A</f>
        <v>1.5519832443040551</v>
      </c>
      <c r="R94" s="81">
        <f t="shared" si="13"/>
        <v>1.6660996593264121</v>
      </c>
      <c r="S94" s="81">
        <f t="shared" si="13"/>
        <v>1.7802160743487694</v>
      </c>
      <c r="T94" s="81">
        <f t="shared" si="13"/>
        <v>1.894332489371126</v>
      </c>
      <c r="U94" s="81">
        <f t="shared" si="13"/>
        <v>2.0084489043934832</v>
      </c>
      <c r="V94" s="81">
        <f t="shared" si="13"/>
        <v>2.1225653194158398</v>
      </c>
      <c r="W94" s="81">
        <f t="shared" si="13"/>
        <v>2.2366817344381973</v>
      </c>
      <c r="X94" s="81">
        <f t="shared" si="13"/>
        <v>2.3507981494605543</v>
      </c>
      <c r="Y94" s="81">
        <f t="shared" si="13"/>
        <v>2.4649145644829109</v>
      </c>
      <c r="Z94" s="81">
        <f t="shared" si="13"/>
        <v>2.5790309795052679</v>
      </c>
      <c r="AA94" s="81">
        <f t="shared" si="13"/>
        <v>2.6931473945276254</v>
      </c>
      <c r="AB94" s="81">
        <f t="shared" si="13"/>
        <v>2.8072638095499824</v>
      </c>
      <c r="AC94" s="81">
        <f t="shared" si="13"/>
        <v>2.9213802245723386</v>
      </c>
      <c r="AD94" s="82">
        <f t="shared" si="13"/>
        <v>3.0354966395946961</v>
      </c>
      <c r="AE94" s="54"/>
      <c r="AF94" s="244" t="s">
        <v>141</v>
      </c>
      <c r="AG94" s="1">
        <f>AG91/((((AG92/12)/2)^2*PI())*AG93)/60</f>
        <v>292.44897631961425</v>
      </c>
      <c r="AH94" s="1">
        <f t="shared" ref="AH94:AT94" si="14">AH91/((((AH92/12)/2)^2*PI())*AH93)/60</f>
        <v>313.95257751958593</v>
      </c>
      <c r="AI94" s="1">
        <f t="shared" si="14"/>
        <v>335.4561787195575</v>
      </c>
      <c r="AJ94" s="1">
        <f t="shared" si="14"/>
        <v>356.95977991952913</v>
      </c>
      <c r="AK94" s="1">
        <f t="shared" si="14"/>
        <v>378.46338111950075</v>
      </c>
      <c r="AL94" s="1">
        <f t="shared" si="14"/>
        <v>399.96698231947244</v>
      </c>
      <c r="AM94" s="1">
        <f t="shared" si="14"/>
        <v>421.47058351944412</v>
      </c>
      <c r="AN94" s="1">
        <f t="shared" si="14"/>
        <v>442.97418471941569</v>
      </c>
      <c r="AO94" s="1">
        <f t="shared" si="14"/>
        <v>464.47778591938732</v>
      </c>
      <c r="AP94" s="1">
        <f t="shared" si="14"/>
        <v>485.98138711935894</v>
      </c>
      <c r="AQ94" s="1">
        <f t="shared" si="14"/>
        <v>507.48498831933068</v>
      </c>
      <c r="AR94" s="1">
        <f t="shared" si="14"/>
        <v>528.98858951930231</v>
      </c>
      <c r="AS94" s="1">
        <f t="shared" si="14"/>
        <v>550.49219071927394</v>
      </c>
      <c r="AT94" s="1">
        <f t="shared" si="14"/>
        <v>571.99579191924545</v>
      </c>
    </row>
    <row r="95" spans="1:46" ht="15.75" x14ac:dyDescent="0.25">
      <c r="B95" s="124"/>
      <c r="C95" s="124"/>
      <c r="D95" s="124"/>
      <c r="E95" s="124"/>
      <c r="F95" s="124"/>
      <c r="G95" s="590" t="s">
        <v>74</v>
      </c>
      <c r="H95" s="591"/>
      <c r="I95" s="591"/>
      <c r="J95" s="24" t="s">
        <v>21</v>
      </c>
      <c r="K95" s="28"/>
      <c r="L95" s="28"/>
      <c r="M95" s="54"/>
      <c r="N95" s="594" t="s">
        <v>88</v>
      </c>
      <c r="O95" s="595"/>
      <c r="P95" s="591"/>
      <c r="Q95" s="81">
        <f t="shared" ref="Q95:AD95" si="15">Q94/6</f>
        <v>0.25866387405067587</v>
      </c>
      <c r="R95" s="81">
        <f t="shared" si="15"/>
        <v>0.277683276554402</v>
      </c>
      <c r="S95" s="81">
        <f t="shared" si="15"/>
        <v>0.29670267905812825</v>
      </c>
      <c r="T95" s="81">
        <f t="shared" si="15"/>
        <v>0.31572208156185433</v>
      </c>
      <c r="U95" s="81">
        <f t="shared" si="15"/>
        <v>0.33474148406558052</v>
      </c>
      <c r="V95" s="81">
        <f t="shared" si="15"/>
        <v>0.35376088656930665</v>
      </c>
      <c r="W95" s="81">
        <f t="shared" si="15"/>
        <v>0.3727802890730329</v>
      </c>
      <c r="X95" s="81">
        <f t="shared" si="15"/>
        <v>0.39179969157675903</v>
      </c>
      <c r="Y95" s="81">
        <f t="shared" si="15"/>
        <v>0.41081909408048517</v>
      </c>
      <c r="Z95" s="81">
        <f t="shared" si="15"/>
        <v>0.4298384965842113</v>
      </c>
      <c r="AA95" s="81">
        <f t="shared" si="15"/>
        <v>0.44885789908793755</v>
      </c>
      <c r="AB95" s="81">
        <f t="shared" si="15"/>
        <v>0.46787730159166374</v>
      </c>
      <c r="AC95" s="81">
        <f t="shared" si="15"/>
        <v>0.48689670409538977</v>
      </c>
      <c r="AD95" s="82">
        <f t="shared" si="15"/>
        <v>0.50591610659911601</v>
      </c>
      <c r="AE95" s="54"/>
      <c r="AF95" s="244" t="s">
        <v>142</v>
      </c>
      <c r="AG95" s="1">
        <f>(AG94/5280)*3600</f>
        <v>199.39702930882791</v>
      </c>
      <c r="AH95" s="1">
        <f t="shared" ref="AH95:AS95" si="16">AH94/5280*3600</f>
        <v>214.05857558153588</v>
      </c>
      <c r="AI95" s="1">
        <f t="shared" si="16"/>
        <v>228.72012185424373</v>
      </c>
      <c r="AJ95" s="1">
        <f t="shared" si="16"/>
        <v>243.38166812695167</v>
      </c>
      <c r="AK95" s="1">
        <f t="shared" si="16"/>
        <v>258.04321439965963</v>
      </c>
      <c r="AL95" s="1">
        <f t="shared" si="16"/>
        <v>272.70476067236757</v>
      </c>
      <c r="AM95" s="1">
        <f t="shared" si="16"/>
        <v>287.36630694507556</v>
      </c>
      <c r="AN95" s="1">
        <f t="shared" si="16"/>
        <v>302.02785321778344</v>
      </c>
      <c r="AO95" s="1">
        <f t="shared" si="16"/>
        <v>316.68939949049133</v>
      </c>
      <c r="AP95" s="1">
        <f t="shared" si="16"/>
        <v>331.35094576319926</v>
      </c>
      <c r="AQ95" s="1">
        <f t="shared" si="16"/>
        <v>346.01249203590726</v>
      </c>
      <c r="AR95" s="1">
        <f t="shared" si="16"/>
        <v>360.6740383086152</v>
      </c>
      <c r="AS95" s="1">
        <f t="shared" si="16"/>
        <v>375.33558458132319</v>
      </c>
    </row>
    <row r="96" spans="1:46" s="2" customFormat="1" ht="16.5" thickBot="1" x14ac:dyDescent="0.3">
      <c r="A96" s="142"/>
      <c r="B96" s="142"/>
      <c r="C96" s="142"/>
      <c r="D96" s="142"/>
      <c r="E96" s="142"/>
      <c r="F96" s="142"/>
      <c r="G96" s="142"/>
      <c r="H96" s="142"/>
      <c r="I96" s="144" t="s">
        <v>114</v>
      </c>
      <c r="J96" s="67" t="s">
        <v>22</v>
      </c>
      <c r="K96" s="22"/>
      <c r="L96" s="22"/>
      <c r="M96" s="68"/>
      <c r="N96" s="601" t="s">
        <v>89</v>
      </c>
      <c r="O96" s="602"/>
      <c r="P96" s="603"/>
      <c r="Q96" s="101">
        <f t="shared" ref="Q96:AD96" si="17">Q95*60</f>
        <v>15.519832443040553</v>
      </c>
      <c r="R96" s="101">
        <f t="shared" si="17"/>
        <v>16.66099659326412</v>
      </c>
      <c r="S96" s="101">
        <f t="shared" si="17"/>
        <v>17.802160743487693</v>
      </c>
      <c r="T96" s="101">
        <f t="shared" si="17"/>
        <v>18.94332489371126</v>
      </c>
      <c r="U96" s="101">
        <f t="shared" si="17"/>
        <v>20.08448904393483</v>
      </c>
      <c r="V96" s="101">
        <f t="shared" si="17"/>
        <v>21.225653194158401</v>
      </c>
      <c r="W96" s="101">
        <f t="shared" si="17"/>
        <v>22.366817344381975</v>
      </c>
      <c r="X96" s="101">
        <f t="shared" si="17"/>
        <v>23.507981494605541</v>
      </c>
      <c r="Y96" s="101">
        <f t="shared" si="17"/>
        <v>24.649145644829112</v>
      </c>
      <c r="Z96" s="101">
        <f t="shared" si="17"/>
        <v>25.790309795052679</v>
      </c>
      <c r="AA96" s="101">
        <f t="shared" si="17"/>
        <v>26.931473945276252</v>
      </c>
      <c r="AB96" s="101">
        <f t="shared" si="17"/>
        <v>28.072638095499826</v>
      </c>
      <c r="AC96" s="101">
        <f t="shared" si="17"/>
        <v>29.213802245723386</v>
      </c>
      <c r="AD96" s="102">
        <f t="shared" si="17"/>
        <v>30.35496639594696</v>
      </c>
      <c r="AE96" s="68"/>
      <c r="AF96" s="244" t="s">
        <v>143</v>
      </c>
      <c r="AG96" s="244">
        <f>AG94*12</f>
        <v>3509.3877158353707</v>
      </c>
      <c r="AH96" s="244">
        <f t="shared" ref="AH96:AT96" si="18">AH94*12</f>
        <v>3767.4309302350312</v>
      </c>
      <c r="AI96" s="244">
        <f t="shared" si="18"/>
        <v>4025.4741446346898</v>
      </c>
      <c r="AJ96" s="244">
        <f t="shared" si="18"/>
        <v>4283.5173590343493</v>
      </c>
      <c r="AK96" s="244">
        <f t="shared" si="18"/>
        <v>4541.5605734340088</v>
      </c>
      <c r="AL96" s="244">
        <f t="shared" si="18"/>
        <v>4799.6037878336692</v>
      </c>
      <c r="AM96" s="244">
        <f t="shared" si="18"/>
        <v>5057.6470022333297</v>
      </c>
      <c r="AN96" s="244">
        <f t="shared" si="18"/>
        <v>5315.6902166329883</v>
      </c>
      <c r="AO96" s="244">
        <f t="shared" si="18"/>
        <v>5573.7334310326478</v>
      </c>
      <c r="AP96" s="244">
        <f t="shared" si="18"/>
        <v>5831.7766454323073</v>
      </c>
      <c r="AQ96" s="244">
        <f t="shared" si="18"/>
        <v>6089.8198598319686</v>
      </c>
      <c r="AR96" s="244">
        <f t="shared" si="18"/>
        <v>6347.8630742316273</v>
      </c>
      <c r="AS96" s="244">
        <f t="shared" si="18"/>
        <v>6605.9062886312877</v>
      </c>
      <c r="AT96" s="244">
        <f t="shared" si="18"/>
        <v>6863.9495030309454</v>
      </c>
    </row>
    <row r="97" spans="1:43" s="2" customFormat="1" ht="14.25" thickTop="1" thickBot="1" x14ac:dyDescent="0.25">
      <c r="A97" s="142"/>
      <c r="B97" s="142"/>
      <c r="C97" s="142"/>
      <c r="D97" s="142"/>
      <c r="E97" s="142"/>
      <c r="F97" s="142"/>
      <c r="G97" s="142"/>
      <c r="H97" s="142"/>
      <c r="I97" s="144"/>
      <c r="J97" s="154"/>
      <c r="K97" s="142"/>
      <c r="L97" s="142"/>
      <c r="M97" s="142"/>
      <c r="N97" s="592"/>
      <c r="O97" s="593"/>
      <c r="P97" s="593"/>
      <c r="Q97" s="83"/>
      <c r="R97" s="83"/>
      <c r="S97" s="83"/>
      <c r="T97" s="83"/>
      <c r="U97" s="83"/>
      <c r="V97" s="83"/>
      <c r="W97" s="83"/>
      <c r="X97" s="83"/>
      <c r="Y97" s="83"/>
      <c r="Z97" s="83"/>
      <c r="AA97" s="83"/>
      <c r="AB97" s="83"/>
      <c r="AC97" s="83"/>
      <c r="AD97" s="84"/>
      <c r="AE97" s="68"/>
    </row>
    <row r="98" spans="1:43" ht="13.5" thickTop="1" x14ac:dyDescent="0.2">
      <c r="B98" s="124"/>
      <c r="C98" s="124"/>
      <c r="D98" s="124"/>
      <c r="E98" s="124"/>
      <c r="F98" s="124"/>
      <c r="G98" s="124"/>
      <c r="H98" s="124"/>
      <c r="I98" s="140"/>
      <c r="J98" s="69" t="s">
        <v>44</v>
      </c>
      <c r="K98" s="28"/>
      <c r="L98" s="28"/>
      <c r="M98" s="28"/>
      <c r="N98" s="615"/>
      <c r="O98" s="616"/>
      <c r="P98" s="616"/>
      <c r="Q98" s="93"/>
      <c r="R98" s="93"/>
      <c r="S98" s="93"/>
      <c r="T98" s="93"/>
      <c r="U98" s="93"/>
      <c r="V98" s="93"/>
      <c r="W98" s="93"/>
      <c r="X98" s="93"/>
      <c r="Y98" s="93"/>
      <c r="Z98" s="93"/>
      <c r="AA98" s="93"/>
      <c r="AB98" s="93"/>
      <c r="AC98" s="93"/>
      <c r="AD98" s="94"/>
      <c r="AE98" s="54"/>
      <c r="AP98" s="1">
        <f>AP91/2</f>
        <v>248.49537037037035</v>
      </c>
      <c r="AQ98" s="244" t="s">
        <v>148</v>
      </c>
    </row>
    <row r="99" spans="1:43" ht="15.75" x14ac:dyDescent="0.25">
      <c r="B99" s="124"/>
      <c r="C99" s="124"/>
      <c r="D99" s="124"/>
      <c r="E99" s="124"/>
      <c r="F99" s="124"/>
      <c r="G99" s="124"/>
      <c r="H99" s="124"/>
      <c r="I99" s="140"/>
      <c r="J99" s="23" t="s">
        <v>23</v>
      </c>
      <c r="K99" s="28"/>
      <c r="L99" s="28"/>
      <c r="M99" s="28"/>
      <c r="N99" s="604" t="s">
        <v>96</v>
      </c>
      <c r="O99" s="605"/>
      <c r="P99" s="591"/>
      <c r="Q99" s="78">
        <f t="shared" ref="Q99:AB99" si="19">Q94*19000/60</f>
        <v>491.46136069628409</v>
      </c>
      <c r="R99" s="78">
        <f t="shared" si="19"/>
        <v>527.59822545336385</v>
      </c>
      <c r="S99" s="78">
        <f t="shared" si="19"/>
        <v>563.73509021044367</v>
      </c>
      <c r="T99" s="78">
        <f t="shared" si="19"/>
        <v>599.87195496752315</v>
      </c>
      <c r="U99" s="78">
        <f t="shared" si="19"/>
        <v>636.00881972460297</v>
      </c>
      <c r="V99" s="78">
        <f t="shared" si="19"/>
        <v>672.14568448168257</v>
      </c>
      <c r="W99" s="78">
        <f t="shared" si="19"/>
        <v>708.28254923876239</v>
      </c>
      <c r="X99" s="78">
        <f t="shared" si="19"/>
        <v>744.41941399584221</v>
      </c>
      <c r="Y99" s="78">
        <f t="shared" si="19"/>
        <v>780.5562787529218</v>
      </c>
      <c r="Z99" s="78">
        <f t="shared" si="19"/>
        <v>816.69314351000151</v>
      </c>
      <c r="AA99" s="78">
        <f t="shared" si="19"/>
        <v>852.83000826708133</v>
      </c>
      <c r="AB99" s="78">
        <f t="shared" si="19"/>
        <v>888.96687302416115</v>
      </c>
      <c r="AC99" s="78">
        <f>AC94*19000/60</f>
        <v>925.10373778124062</v>
      </c>
      <c r="AD99" s="79">
        <f>AD94*19000/60</f>
        <v>961.24060253832045</v>
      </c>
      <c r="AE99" s="54"/>
      <c r="AN99">
        <v>1.25</v>
      </c>
      <c r="AO99">
        <f>PI()*(AN99/2)^2</f>
        <v>1.227184630308513</v>
      </c>
      <c r="AP99" s="1">
        <f>AP98/60</f>
        <v>4.1415895061728394</v>
      </c>
      <c r="AQ99" s="244" t="s">
        <v>149</v>
      </c>
    </row>
    <row r="100" spans="1:43" ht="15.75" x14ac:dyDescent="0.25">
      <c r="B100" s="124"/>
      <c r="C100" s="124"/>
      <c r="D100" s="124"/>
      <c r="E100" s="124"/>
      <c r="F100" s="124"/>
      <c r="G100" s="124"/>
      <c r="H100" s="124"/>
      <c r="I100" s="140"/>
      <c r="J100" s="24" t="s">
        <v>24</v>
      </c>
      <c r="K100" s="24"/>
      <c r="L100" s="28"/>
      <c r="M100" s="28"/>
      <c r="N100" s="604" t="s">
        <v>97</v>
      </c>
      <c r="O100" s="605"/>
      <c r="P100" s="591"/>
      <c r="Q100" s="78">
        <f t="shared" ref="Q100:AD100" si="20">Q99*778</f>
        <v>382356.93862170901</v>
      </c>
      <c r="R100" s="78">
        <f t="shared" si="20"/>
        <v>410471.41940271709</v>
      </c>
      <c r="S100" s="78">
        <f t="shared" si="20"/>
        <v>438585.90018372517</v>
      </c>
      <c r="T100" s="78">
        <f t="shared" si="20"/>
        <v>466700.38096473302</v>
      </c>
      <c r="U100" s="78">
        <f t="shared" si="20"/>
        <v>494814.8617457411</v>
      </c>
      <c r="V100" s="78">
        <f t="shared" si="20"/>
        <v>522929.34252674901</v>
      </c>
      <c r="W100" s="78">
        <f t="shared" si="20"/>
        <v>551043.82330775715</v>
      </c>
      <c r="X100" s="78">
        <f t="shared" si="20"/>
        <v>579158.30408876529</v>
      </c>
      <c r="Y100" s="78">
        <f t="shared" si="20"/>
        <v>607272.7848697732</v>
      </c>
      <c r="Z100" s="78">
        <f t="shared" si="20"/>
        <v>635387.26565078122</v>
      </c>
      <c r="AA100" s="78">
        <f t="shared" si="20"/>
        <v>663501.74643178924</v>
      </c>
      <c r="AB100" s="78">
        <f t="shared" si="20"/>
        <v>691616.22721279738</v>
      </c>
      <c r="AC100" s="78">
        <f t="shared" si="20"/>
        <v>719730.70799380518</v>
      </c>
      <c r="AD100" s="79">
        <f t="shared" si="20"/>
        <v>747845.18877481332</v>
      </c>
      <c r="AE100" s="54"/>
      <c r="AN100">
        <v>1.5</v>
      </c>
      <c r="AO100">
        <f>PI()*(AN100/2)^2</f>
        <v>1.7671458676442586</v>
      </c>
    </row>
    <row r="101" spans="1:43" ht="15.75" x14ac:dyDescent="0.25">
      <c r="B101" s="124"/>
      <c r="C101" s="124"/>
      <c r="D101" s="124"/>
      <c r="E101" s="124"/>
      <c r="F101" s="124"/>
      <c r="G101" s="124"/>
      <c r="H101" s="124"/>
      <c r="I101" s="140"/>
      <c r="J101" s="23" t="s">
        <v>25</v>
      </c>
      <c r="K101" s="24"/>
      <c r="L101" s="28"/>
      <c r="M101" s="28"/>
      <c r="N101" s="604" t="s">
        <v>25</v>
      </c>
      <c r="O101" s="605"/>
      <c r="P101" s="591"/>
      <c r="Q101" s="78">
        <f t="shared" ref="Q101:AD101" si="21">Q100/550</f>
        <v>695.19443385765271</v>
      </c>
      <c r="R101" s="78">
        <f t="shared" si="21"/>
        <v>746.31167164130375</v>
      </c>
      <c r="S101" s="78">
        <f t="shared" si="21"/>
        <v>797.4289094249549</v>
      </c>
      <c r="T101" s="78">
        <f t="shared" si="21"/>
        <v>848.54614720860548</v>
      </c>
      <c r="U101" s="78">
        <f t="shared" si="21"/>
        <v>899.66338499225651</v>
      </c>
      <c r="V101" s="78">
        <f t="shared" si="21"/>
        <v>950.78062277590732</v>
      </c>
      <c r="W101" s="78">
        <f t="shared" si="21"/>
        <v>1001.8978605595585</v>
      </c>
      <c r="X101" s="78">
        <f t="shared" si="21"/>
        <v>1053.0150983432097</v>
      </c>
      <c r="Y101" s="78">
        <f t="shared" si="21"/>
        <v>1104.1323361268603</v>
      </c>
      <c r="Z101" s="78">
        <f t="shared" si="21"/>
        <v>1155.2495739105113</v>
      </c>
      <c r="AA101" s="78">
        <f t="shared" si="21"/>
        <v>1206.3668116941622</v>
      </c>
      <c r="AB101" s="78">
        <f t="shared" si="21"/>
        <v>1257.4840494778134</v>
      </c>
      <c r="AC101" s="78">
        <f t="shared" si="21"/>
        <v>1308.601287261464</v>
      </c>
      <c r="AD101" s="79">
        <f t="shared" si="21"/>
        <v>1359.718525045115</v>
      </c>
      <c r="AE101" s="54"/>
      <c r="AN101" t="s">
        <v>145</v>
      </c>
      <c r="AO101">
        <f>SUM(AO99,AO100)</f>
        <v>2.9943304979527716</v>
      </c>
    </row>
    <row r="102" spans="1:43" s="2" customFormat="1" ht="15.75" x14ac:dyDescent="0.25">
      <c r="A102" s="142"/>
      <c r="B102" s="142"/>
      <c r="C102" s="142"/>
      <c r="D102" s="142"/>
      <c r="E102" s="142"/>
      <c r="F102" s="142"/>
      <c r="G102" s="142"/>
      <c r="H102" s="142"/>
      <c r="I102" s="144" t="s">
        <v>63</v>
      </c>
      <c r="J102" s="70" t="s">
        <v>26</v>
      </c>
      <c r="K102" s="71">
        <v>0.24</v>
      </c>
      <c r="L102" s="25">
        <v>24</v>
      </c>
      <c r="M102" s="22"/>
      <c r="N102" s="604" t="s">
        <v>90</v>
      </c>
      <c r="O102" s="605"/>
      <c r="P102" s="591"/>
      <c r="Q102" s="108">
        <f t="shared" ref="Q102:AD104" si="22">Q$101*$K102</f>
        <v>166.84666412583664</v>
      </c>
      <c r="R102" s="108">
        <f t="shared" si="22"/>
        <v>179.11480119391288</v>
      </c>
      <c r="S102" s="108">
        <f t="shared" si="22"/>
        <v>191.38293826198918</v>
      </c>
      <c r="T102" s="108">
        <f t="shared" si="22"/>
        <v>203.65107533006531</v>
      </c>
      <c r="U102" s="108">
        <f t="shared" si="22"/>
        <v>215.91921239814155</v>
      </c>
      <c r="V102" s="108">
        <f t="shared" si="22"/>
        <v>228.18734946621774</v>
      </c>
      <c r="W102" s="108">
        <f t="shared" si="22"/>
        <v>240.45548653429401</v>
      </c>
      <c r="X102" s="108">
        <f t="shared" si="22"/>
        <v>252.72362360237034</v>
      </c>
      <c r="Y102" s="108">
        <f t="shared" si="22"/>
        <v>264.99176067044647</v>
      </c>
      <c r="Z102" s="108">
        <f t="shared" si="22"/>
        <v>277.25989773852274</v>
      </c>
      <c r="AA102" s="108">
        <f t="shared" si="22"/>
        <v>289.5280348065989</v>
      </c>
      <c r="AB102" s="108">
        <f t="shared" si="22"/>
        <v>301.79617187467522</v>
      </c>
      <c r="AC102" s="108">
        <f t="shared" si="22"/>
        <v>314.06430894275132</v>
      </c>
      <c r="AD102" s="109">
        <f t="shared" si="22"/>
        <v>326.3324460108276</v>
      </c>
      <c r="AE102" s="68"/>
      <c r="AN102" t="s">
        <v>146</v>
      </c>
      <c r="AO102">
        <f>AO101/144</f>
        <v>2.0793961791338692E-2</v>
      </c>
      <c r="AP102" s="2">
        <f>AP99/AO102</f>
        <v>199.17269963908154</v>
      </c>
      <c r="AQ102" s="2" t="s">
        <v>147</v>
      </c>
    </row>
    <row r="103" spans="1:43" ht="15.75" x14ac:dyDescent="0.25">
      <c r="B103" s="124"/>
      <c r="C103" s="124"/>
      <c r="D103" s="124"/>
      <c r="E103" s="124"/>
      <c r="F103" s="124"/>
      <c r="G103" s="124"/>
      <c r="H103" s="124"/>
      <c r="I103" s="140"/>
      <c r="J103" s="24" t="s">
        <v>27</v>
      </c>
      <c r="K103" s="72">
        <f>(1-K104) -K102</f>
        <v>0.26</v>
      </c>
      <c r="L103" s="25">
        <v>26</v>
      </c>
      <c r="M103" s="28"/>
      <c r="N103" s="604" t="s">
        <v>91</v>
      </c>
      <c r="O103" s="605"/>
      <c r="P103" s="591"/>
      <c r="Q103" s="78">
        <f t="shared" si="22"/>
        <v>180.75055280298972</v>
      </c>
      <c r="R103" s="78">
        <f t="shared" si="22"/>
        <v>194.04103462673899</v>
      </c>
      <c r="S103" s="78">
        <f t="shared" si="22"/>
        <v>207.33151645048827</v>
      </c>
      <c r="T103" s="78">
        <f t="shared" si="22"/>
        <v>220.62199827423743</v>
      </c>
      <c r="U103" s="78">
        <f t="shared" si="22"/>
        <v>233.9124800979867</v>
      </c>
      <c r="V103" s="78">
        <f t="shared" si="22"/>
        <v>247.20296192173592</v>
      </c>
      <c r="W103" s="78">
        <f t="shared" si="22"/>
        <v>260.49344374548519</v>
      </c>
      <c r="X103" s="78">
        <f t="shared" si="22"/>
        <v>273.78392556923455</v>
      </c>
      <c r="Y103" s="78">
        <f t="shared" si="22"/>
        <v>287.07440739298369</v>
      </c>
      <c r="Z103" s="78">
        <f t="shared" si="22"/>
        <v>300.36488921673293</v>
      </c>
      <c r="AA103" s="78">
        <f t="shared" si="22"/>
        <v>313.65537104048218</v>
      </c>
      <c r="AB103" s="78">
        <f t="shared" si="22"/>
        <v>326.94585286423148</v>
      </c>
      <c r="AC103" s="78">
        <f t="shared" si="22"/>
        <v>340.23633468798067</v>
      </c>
      <c r="AD103" s="79">
        <f t="shared" si="22"/>
        <v>353.52681651172992</v>
      </c>
      <c r="AE103" s="54"/>
      <c r="AN103"/>
      <c r="AO103"/>
    </row>
    <row r="104" spans="1:43" ht="16.5" thickBot="1" x14ac:dyDescent="0.3">
      <c r="B104" s="124"/>
      <c r="C104" s="124"/>
      <c r="D104" s="124"/>
      <c r="E104" s="124"/>
      <c r="F104" s="124"/>
      <c r="G104" s="124"/>
      <c r="H104" s="124"/>
      <c r="I104" s="140" t="s">
        <v>64</v>
      </c>
      <c r="J104" s="24" t="s">
        <v>28</v>
      </c>
      <c r="K104" s="72">
        <v>0.5</v>
      </c>
      <c r="L104" s="25">
        <v>50</v>
      </c>
      <c r="M104" s="28"/>
      <c r="N104" s="617" t="s">
        <v>92</v>
      </c>
      <c r="O104" s="618"/>
      <c r="P104" s="603"/>
      <c r="Q104" s="97">
        <f t="shared" si="22"/>
        <v>347.59721692882636</v>
      </c>
      <c r="R104" s="97">
        <f t="shared" si="22"/>
        <v>373.15583582065187</v>
      </c>
      <c r="S104" s="97">
        <f t="shared" si="22"/>
        <v>398.71445471247745</v>
      </c>
      <c r="T104" s="97">
        <f t="shared" si="22"/>
        <v>424.27307360430274</v>
      </c>
      <c r="U104" s="97">
        <f t="shared" si="22"/>
        <v>449.83169249612826</v>
      </c>
      <c r="V104" s="97">
        <f t="shared" si="22"/>
        <v>475.39031138795366</v>
      </c>
      <c r="W104" s="97">
        <f t="shared" si="22"/>
        <v>500.94893027977923</v>
      </c>
      <c r="X104" s="97">
        <f t="shared" si="22"/>
        <v>526.50754917160486</v>
      </c>
      <c r="Y104" s="97">
        <f t="shared" si="22"/>
        <v>552.06616806343015</v>
      </c>
      <c r="Z104" s="97">
        <f t="shared" si="22"/>
        <v>577.62478695525567</v>
      </c>
      <c r="AA104" s="97">
        <f t="shared" si="22"/>
        <v>603.18340584708108</v>
      </c>
      <c r="AB104" s="97">
        <f t="shared" si="22"/>
        <v>628.74202473890671</v>
      </c>
      <c r="AC104" s="97">
        <f t="shared" si="22"/>
        <v>654.300643630732</v>
      </c>
      <c r="AD104" s="98">
        <f t="shared" si="22"/>
        <v>679.85926252255751</v>
      </c>
      <c r="AE104" s="54"/>
    </row>
    <row r="105" spans="1:43" ht="14.25" thickTop="1" thickBot="1" x14ac:dyDescent="0.25">
      <c r="B105" s="124"/>
      <c r="C105" s="124"/>
      <c r="D105" s="124"/>
      <c r="E105" s="124"/>
      <c r="F105" s="124"/>
      <c r="G105" s="124"/>
      <c r="H105" s="124"/>
      <c r="I105" s="140"/>
      <c r="J105" s="124"/>
      <c r="K105" s="124"/>
      <c r="L105" s="124"/>
      <c r="M105" s="124"/>
      <c r="N105" s="592"/>
      <c r="O105" s="593"/>
      <c r="P105" s="593"/>
      <c r="Q105" s="45"/>
      <c r="R105" s="45"/>
      <c r="S105" s="45"/>
      <c r="T105" s="45"/>
      <c r="U105" s="45"/>
      <c r="V105" s="45"/>
      <c r="W105" s="45"/>
      <c r="X105" s="45"/>
      <c r="Y105" s="45"/>
      <c r="Z105" s="45"/>
      <c r="AA105" s="45"/>
      <c r="AB105" s="45"/>
      <c r="AC105" s="45"/>
      <c r="AD105" s="85"/>
      <c r="AE105" s="54"/>
    </row>
    <row r="106" spans="1:43" ht="13.5" thickTop="1" x14ac:dyDescent="0.2">
      <c r="B106" s="124"/>
      <c r="C106" s="124"/>
      <c r="D106" s="124"/>
      <c r="E106" s="230" t="s">
        <v>1</v>
      </c>
      <c r="F106" s="124"/>
      <c r="G106" s="124"/>
      <c r="H106" s="124"/>
      <c r="I106" s="140"/>
      <c r="J106" s="69" t="s">
        <v>29</v>
      </c>
      <c r="K106" s="28"/>
      <c r="L106" s="28"/>
      <c r="M106" s="28"/>
      <c r="N106" s="626"/>
      <c r="O106" s="627"/>
      <c r="P106" s="616"/>
      <c r="Q106" s="93"/>
      <c r="R106" s="93"/>
      <c r="S106" s="93"/>
      <c r="T106" s="93"/>
      <c r="U106" s="93"/>
      <c r="V106" s="93"/>
      <c r="W106" s="93"/>
      <c r="X106" s="93"/>
      <c r="Y106" s="93"/>
      <c r="Z106" s="93"/>
      <c r="AA106" s="93"/>
      <c r="AB106" s="93"/>
      <c r="AC106" s="93"/>
      <c r="AD106" s="94"/>
      <c r="AE106" s="54"/>
    </row>
    <row r="107" spans="1:43" ht="15.75" x14ac:dyDescent="0.25">
      <c r="B107" s="124"/>
      <c r="C107" s="124"/>
      <c r="D107" s="124"/>
      <c r="E107" s="124"/>
      <c r="F107" s="124"/>
      <c r="G107" s="124"/>
      <c r="H107" s="124"/>
      <c r="I107" s="140"/>
      <c r="J107" s="23" t="s">
        <v>30</v>
      </c>
      <c r="K107" s="28"/>
      <c r="L107" s="28"/>
      <c r="M107" s="28"/>
      <c r="N107" s="619" t="s">
        <v>179</v>
      </c>
      <c r="O107" s="620"/>
      <c r="P107" s="591"/>
      <c r="Q107" s="78">
        <f>(Q103/778)*550*60</f>
        <v>7666.7972268620324</v>
      </c>
      <c r="R107" s="78">
        <f t="shared" ref="R107:AD107" si="23">(R103/778)*550*60</f>
        <v>8230.5323170724751</v>
      </c>
      <c r="S107" s="78">
        <f t="shared" si="23"/>
        <v>8794.2674072829213</v>
      </c>
      <c r="T107" s="78">
        <f t="shared" si="23"/>
        <v>9358.0024974933604</v>
      </c>
      <c r="U107" s="78">
        <f t="shared" si="23"/>
        <v>9921.7375877038066</v>
      </c>
      <c r="V107" s="78">
        <f t="shared" si="23"/>
        <v>10485.472677914247</v>
      </c>
      <c r="W107" s="78">
        <f t="shared" si="23"/>
        <v>11049.207768124694</v>
      </c>
      <c r="X107" s="78">
        <f t="shared" si="23"/>
        <v>11612.942858335142</v>
      </c>
      <c r="Y107" s="78">
        <f t="shared" si="23"/>
        <v>12176.677948545581</v>
      </c>
      <c r="Z107" s="78">
        <f t="shared" si="23"/>
        <v>12740.413038756024</v>
      </c>
      <c r="AA107" s="78">
        <f t="shared" si="23"/>
        <v>13304.148128966468</v>
      </c>
      <c r="AB107" s="78">
        <f t="shared" si="23"/>
        <v>13867.883219176914</v>
      </c>
      <c r="AC107" s="78">
        <f t="shared" si="23"/>
        <v>14431.618309387355</v>
      </c>
      <c r="AD107" s="78">
        <f t="shared" si="23"/>
        <v>14995.353399597798</v>
      </c>
      <c r="AE107" s="54"/>
    </row>
    <row r="108" spans="1:43" ht="15.75" x14ac:dyDescent="0.25">
      <c r="B108" s="124"/>
      <c r="C108" s="124"/>
      <c r="D108" s="124"/>
      <c r="E108" s="124"/>
      <c r="F108" s="124"/>
      <c r="G108" s="124"/>
      <c r="H108" s="124"/>
      <c r="I108" s="140"/>
      <c r="J108" s="23" t="s">
        <v>45</v>
      </c>
      <c r="K108" s="25" t="s">
        <v>1</v>
      </c>
      <c r="L108" s="28"/>
      <c r="M108" s="28"/>
      <c r="N108" s="619" t="s">
        <v>93</v>
      </c>
      <c r="O108" s="620"/>
      <c r="P108" s="591"/>
      <c r="Q108" s="99">
        <f t="shared" ref="Q108:AD108" si="24">Q107*2/3</f>
        <v>5111.1981512413549</v>
      </c>
      <c r="R108" s="99">
        <f t="shared" si="24"/>
        <v>5487.0215447149831</v>
      </c>
      <c r="S108" s="99">
        <f t="shared" si="24"/>
        <v>5862.8449381886139</v>
      </c>
      <c r="T108" s="99">
        <f t="shared" si="24"/>
        <v>6238.6683316622402</v>
      </c>
      <c r="U108" s="99">
        <f t="shared" si="24"/>
        <v>6614.4917251358711</v>
      </c>
      <c r="V108" s="99">
        <f t="shared" si="24"/>
        <v>6990.3151186094983</v>
      </c>
      <c r="W108" s="99">
        <f t="shared" si="24"/>
        <v>7366.1385120831292</v>
      </c>
      <c r="X108" s="99">
        <f t="shared" si="24"/>
        <v>7741.9619055567609</v>
      </c>
      <c r="Y108" s="99">
        <f t="shared" si="24"/>
        <v>8117.7852990303873</v>
      </c>
      <c r="Z108" s="99">
        <f t="shared" si="24"/>
        <v>8493.6086925040163</v>
      </c>
      <c r="AA108" s="99">
        <f t="shared" si="24"/>
        <v>8869.4320859776453</v>
      </c>
      <c r="AB108" s="99">
        <f t="shared" si="24"/>
        <v>9245.2554794512762</v>
      </c>
      <c r="AC108" s="99">
        <f t="shared" si="24"/>
        <v>9621.0788729249034</v>
      </c>
      <c r="AD108" s="100">
        <f t="shared" si="24"/>
        <v>9996.9022663985324</v>
      </c>
      <c r="AE108" s="54"/>
    </row>
    <row r="109" spans="1:43" s="11" customFormat="1" ht="16.5" thickBot="1" x14ac:dyDescent="0.3">
      <c r="A109" s="145"/>
      <c r="B109" s="145"/>
      <c r="C109" s="145"/>
      <c r="D109" s="145"/>
      <c r="E109" s="145"/>
      <c r="F109" s="145"/>
      <c r="G109" s="145"/>
      <c r="H109" s="145"/>
      <c r="I109" s="146"/>
      <c r="J109" s="73" t="s">
        <v>46</v>
      </c>
      <c r="K109" s="74"/>
      <c r="L109" s="74"/>
      <c r="M109" s="74"/>
      <c r="N109" s="628" t="s">
        <v>94</v>
      </c>
      <c r="O109" s="629"/>
      <c r="P109" s="603"/>
      <c r="Q109" s="95">
        <f t="shared" ref="Q109:AB109" si="25">Q107*1/3</f>
        <v>2555.5990756206775</v>
      </c>
      <c r="R109" s="95">
        <f t="shared" si="25"/>
        <v>2743.5107723574915</v>
      </c>
      <c r="S109" s="95">
        <f t="shared" si="25"/>
        <v>2931.422469094307</v>
      </c>
      <c r="T109" s="95">
        <f t="shared" si="25"/>
        <v>3119.3341658311201</v>
      </c>
      <c r="U109" s="95">
        <f t="shared" si="25"/>
        <v>3307.2458625679355</v>
      </c>
      <c r="V109" s="95">
        <f t="shared" si="25"/>
        <v>3495.1575593047492</v>
      </c>
      <c r="W109" s="95">
        <f t="shared" si="25"/>
        <v>3683.0692560415646</v>
      </c>
      <c r="X109" s="95">
        <f t="shared" si="25"/>
        <v>3870.9809527783805</v>
      </c>
      <c r="Y109" s="95">
        <f t="shared" si="25"/>
        <v>4058.8926495151936</v>
      </c>
      <c r="Z109" s="95">
        <f t="shared" si="25"/>
        <v>4246.8043462520081</v>
      </c>
      <c r="AA109" s="95">
        <f t="shared" si="25"/>
        <v>4434.7160429888227</v>
      </c>
      <c r="AB109" s="95">
        <f t="shared" si="25"/>
        <v>4622.6277397256381</v>
      </c>
      <c r="AC109" s="95">
        <f>AC107*1/3</f>
        <v>4810.5394364624517</v>
      </c>
      <c r="AD109" s="96">
        <f>AD107*1/3</f>
        <v>4998.4511331992662</v>
      </c>
      <c r="AE109" s="163"/>
    </row>
    <row r="110" spans="1:43" ht="13.5" thickTop="1" x14ac:dyDescent="0.2">
      <c r="B110" s="124"/>
      <c r="C110" s="124"/>
      <c r="D110" s="124"/>
      <c r="E110" s="124"/>
      <c r="F110" s="124"/>
      <c r="G110" s="124"/>
      <c r="H110" s="124"/>
      <c r="I110" s="140"/>
      <c r="J110" s="124"/>
      <c r="K110" s="124"/>
      <c r="L110" s="124"/>
      <c r="M110" s="124"/>
      <c r="N110" s="615"/>
      <c r="O110" s="616"/>
      <c r="P110" s="616"/>
      <c r="Q110" s="45"/>
      <c r="R110" s="45"/>
      <c r="S110" s="45"/>
      <c r="T110" s="45"/>
      <c r="U110" s="45"/>
      <c r="V110" s="45"/>
      <c r="W110" s="45"/>
      <c r="X110" s="45"/>
      <c r="Y110" s="45"/>
      <c r="Z110" s="45"/>
      <c r="AA110" s="45"/>
      <c r="AB110" s="45"/>
      <c r="AC110" s="45"/>
      <c r="AD110" s="85"/>
      <c r="AE110" s="54"/>
    </row>
    <row r="111" spans="1:43" x14ac:dyDescent="0.2">
      <c r="B111" s="124"/>
      <c r="C111" s="124"/>
      <c r="D111" s="124"/>
      <c r="E111" s="124"/>
      <c r="F111" s="124"/>
      <c r="G111" s="124"/>
      <c r="H111" s="124"/>
      <c r="I111" s="140"/>
      <c r="J111" s="75" t="s">
        <v>31</v>
      </c>
      <c r="K111" s="28"/>
      <c r="L111" s="28"/>
      <c r="M111" s="28"/>
      <c r="N111" s="625"/>
      <c r="O111" s="576"/>
      <c r="P111" s="591"/>
      <c r="Q111" s="45"/>
      <c r="R111" s="45"/>
      <c r="S111" s="45"/>
      <c r="T111" s="45"/>
      <c r="U111" s="45"/>
      <c r="V111" s="45"/>
      <c r="W111" s="45"/>
      <c r="X111" s="45"/>
      <c r="Y111" s="45"/>
      <c r="Z111" s="45"/>
      <c r="AA111" s="45"/>
      <c r="AB111" s="45"/>
      <c r="AC111" s="45"/>
      <c r="AD111" s="85"/>
      <c r="AE111" s="54"/>
    </row>
    <row r="112" spans="1:43" x14ac:dyDescent="0.2">
      <c r="B112" s="124"/>
      <c r="C112" s="124"/>
      <c r="D112" s="124"/>
      <c r="E112" s="124"/>
      <c r="F112" s="124"/>
      <c r="G112" s="124"/>
      <c r="H112" s="124"/>
      <c r="I112" s="140"/>
      <c r="J112" s="237" t="s">
        <v>134</v>
      </c>
      <c r="K112" s="28"/>
      <c r="L112" s="28"/>
      <c r="M112" s="28"/>
      <c r="N112" s="630" t="s">
        <v>95</v>
      </c>
      <c r="O112" s="631"/>
      <c r="P112" s="591"/>
      <c r="Q112" s="86">
        <f t="shared" ref="Q112:AB112" si="26">(Q94)</f>
        <v>1.5519832443040551</v>
      </c>
      <c r="R112" s="86">
        <f t="shared" si="26"/>
        <v>1.6660996593264121</v>
      </c>
      <c r="S112" s="86">
        <f t="shared" si="26"/>
        <v>1.7802160743487694</v>
      </c>
      <c r="T112" s="86">
        <f t="shared" si="26"/>
        <v>1.894332489371126</v>
      </c>
      <c r="U112" s="86">
        <f t="shared" si="26"/>
        <v>2.0084489043934832</v>
      </c>
      <c r="V112" s="86">
        <f t="shared" si="26"/>
        <v>2.1225653194158398</v>
      </c>
      <c r="W112" s="86">
        <f t="shared" si="26"/>
        <v>2.2366817344381973</v>
      </c>
      <c r="X112" s="86">
        <f t="shared" si="26"/>
        <v>2.3507981494605543</v>
      </c>
      <c r="Y112" s="86">
        <f t="shared" si="26"/>
        <v>2.4649145644829109</v>
      </c>
      <c r="Z112" s="86">
        <f t="shared" si="26"/>
        <v>2.5790309795052679</v>
      </c>
      <c r="AA112" s="86">
        <f t="shared" si="26"/>
        <v>2.6931473945276254</v>
      </c>
      <c r="AB112" s="86">
        <f t="shared" si="26"/>
        <v>2.8072638095499824</v>
      </c>
      <c r="AC112" s="86">
        <f>(AC94)</f>
        <v>2.9213802245723386</v>
      </c>
      <c r="AD112" s="87">
        <f>(AD94)</f>
        <v>3.0354966395946961</v>
      </c>
      <c r="AE112" s="164" t="s">
        <v>1</v>
      </c>
    </row>
    <row r="113" spans="1:38" x14ac:dyDescent="0.2">
      <c r="B113" s="124"/>
      <c r="C113" s="124"/>
      <c r="D113" s="124"/>
      <c r="E113" s="124"/>
      <c r="F113" s="124"/>
      <c r="G113" s="124"/>
      <c r="H113" s="124"/>
      <c r="I113" s="140"/>
      <c r="J113" s="23" t="s">
        <v>32</v>
      </c>
      <c r="K113" s="28"/>
      <c r="L113" s="28"/>
      <c r="M113" s="28"/>
      <c r="N113" s="630" t="s">
        <v>135</v>
      </c>
      <c r="O113" s="631"/>
      <c r="P113" s="591"/>
      <c r="Q113" s="88">
        <f t="shared" ref="Q113:AD113" si="27">Q112/(60)/1000</f>
        <v>2.5866387405067586E-5</v>
      </c>
      <c r="R113" s="88">
        <f t="shared" si="27"/>
        <v>2.77683276554402E-5</v>
      </c>
      <c r="S113" s="88">
        <f t="shared" si="27"/>
        <v>2.9670267905812825E-5</v>
      </c>
      <c r="T113" s="88">
        <f t="shared" si="27"/>
        <v>3.1572208156185433E-5</v>
      </c>
      <c r="U113" s="88">
        <f t="shared" si="27"/>
        <v>3.3474148406558051E-5</v>
      </c>
      <c r="V113" s="88">
        <f t="shared" si="27"/>
        <v>3.5376088656930662E-5</v>
      </c>
      <c r="W113" s="88">
        <f t="shared" si="27"/>
        <v>3.7278028907303286E-5</v>
      </c>
      <c r="X113" s="88">
        <f t="shared" si="27"/>
        <v>3.9179969157675904E-5</v>
      </c>
      <c r="Y113" s="88">
        <f t="shared" si="27"/>
        <v>4.1081909408048515E-5</v>
      </c>
      <c r="Z113" s="88">
        <f t="shared" si="27"/>
        <v>4.2983849658421133E-5</v>
      </c>
      <c r="AA113" s="88">
        <f t="shared" si="27"/>
        <v>4.4885789908793758E-5</v>
      </c>
      <c r="AB113" s="88">
        <f t="shared" si="27"/>
        <v>4.6787730159166376E-5</v>
      </c>
      <c r="AC113" s="88">
        <f t="shared" si="27"/>
        <v>4.8689670409538973E-5</v>
      </c>
      <c r="AD113" s="89">
        <f t="shared" si="27"/>
        <v>5.0591610659911598E-5</v>
      </c>
      <c r="AE113" s="165" t="s">
        <v>1</v>
      </c>
    </row>
    <row r="114" spans="1:38" ht="13.5" thickBot="1" x14ac:dyDescent="0.25">
      <c r="B114" s="124"/>
      <c r="C114" s="124"/>
      <c r="D114" s="124"/>
      <c r="E114" s="124"/>
      <c r="F114" s="124"/>
      <c r="G114" s="124"/>
      <c r="H114" s="124"/>
      <c r="I114" s="140"/>
      <c r="J114" s="23" t="s">
        <v>48</v>
      </c>
      <c r="K114" s="28"/>
      <c r="L114" s="28"/>
      <c r="M114" s="28"/>
      <c r="N114" s="622" t="s">
        <v>136</v>
      </c>
      <c r="O114" s="623"/>
      <c r="P114" s="624"/>
      <c r="Q114" s="90">
        <f>(Q113/$L$123)*(IF(Q90&lt;=$L$117,$L$122*2,$L$122)/$L$118)</f>
        <v>5.1732774810135167</v>
      </c>
      <c r="R114" s="90">
        <f>(R113/$L$123)*(IF(R90&lt;=$L$117,$L$122*2,$L$122)/$L$118)</f>
        <v>5.5536655310880398</v>
      </c>
      <c r="S114" s="90">
        <f>(S113/$L$123)*(IF(S90&lt;=$L$117,$L$122*2,$L$122)/$L$118)</f>
        <v>5.9340535811625648</v>
      </c>
      <c r="T114" s="90">
        <f>(T113/$L$123)*(IF(T90&lt;=$L$117,$L$122*2,$L$122)/$L$118)</f>
        <v>6.3144416312370861</v>
      </c>
      <c r="U114" s="90">
        <f>(U113/$L$123)*(IF(U90&lt;=$L$117,$L$122*2,$L$122)/$L$118)</f>
        <v>6.6948296813116093</v>
      </c>
      <c r="V114" s="90">
        <f t="shared" ref="V114:AD114" si="28">(V113/$L$123)*(IF(V90&lt;=$L$117,$L$122*2,$L$122)/$L$118)</f>
        <v>7.0752177313861315</v>
      </c>
      <c r="W114" s="90">
        <f t="shared" si="28"/>
        <v>7.4556057814606564</v>
      </c>
      <c r="X114" s="90">
        <f t="shared" si="28"/>
        <v>7.8359938315351805</v>
      </c>
      <c r="Y114" s="90">
        <f t="shared" si="28"/>
        <v>8.2163818816097027</v>
      </c>
      <c r="Z114" s="90">
        <f t="shared" si="28"/>
        <v>8.5967699316842268</v>
      </c>
      <c r="AA114" s="90">
        <f t="shared" si="28"/>
        <v>8.9771579817587508</v>
      </c>
      <c r="AB114" s="90">
        <f t="shared" si="28"/>
        <v>9.3575460318332748</v>
      </c>
      <c r="AC114" s="90">
        <f t="shared" si="28"/>
        <v>9.7379340819077935</v>
      </c>
      <c r="AD114" s="90">
        <f t="shared" si="28"/>
        <v>10.118322131982319</v>
      </c>
      <c r="AE114" s="166" t="s">
        <v>1</v>
      </c>
      <c r="AF114" s="5"/>
      <c r="AG114" s="5"/>
      <c r="AH114" s="5"/>
      <c r="AI114" s="5"/>
      <c r="AJ114" s="5"/>
      <c r="AK114" s="5"/>
      <c r="AL114" s="5"/>
    </row>
    <row r="115" spans="1:38" s="2" customFormat="1" ht="13.5" thickTop="1" x14ac:dyDescent="0.2">
      <c r="A115" s="142"/>
      <c r="B115" s="142"/>
      <c r="C115" s="142"/>
      <c r="D115" s="142"/>
      <c r="E115" s="142"/>
      <c r="F115" s="142"/>
      <c r="G115" s="142"/>
      <c r="H115" s="142"/>
      <c r="I115" s="144"/>
      <c r="J115" s="155"/>
      <c r="K115" s="142"/>
      <c r="L115" s="142"/>
      <c r="M115" s="142"/>
      <c r="N115" s="123"/>
      <c r="O115" s="123"/>
      <c r="P115" s="123"/>
      <c r="Q115" s="156"/>
      <c r="R115" s="156"/>
      <c r="S115" s="156"/>
      <c r="T115" s="156"/>
      <c r="U115" s="156"/>
      <c r="V115" s="156"/>
      <c r="W115" s="156"/>
      <c r="X115" s="156"/>
      <c r="Y115" s="156"/>
      <c r="Z115" s="156"/>
      <c r="AA115" s="156"/>
      <c r="AB115" s="156"/>
      <c r="AC115" s="156"/>
      <c r="AD115" s="156"/>
      <c r="AE115" s="68"/>
    </row>
    <row r="116" spans="1:38" x14ac:dyDescent="0.2">
      <c r="B116" s="124"/>
      <c r="C116" s="124"/>
      <c r="D116" s="124"/>
      <c r="E116" s="124"/>
      <c r="F116" s="124"/>
      <c r="G116" s="124"/>
      <c r="H116" s="124"/>
      <c r="I116" s="140"/>
      <c r="J116" s="26" t="s">
        <v>33</v>
      </c>
      <c r="K116" s="28"/>
      <c r="L116" s="28"/>
      <c r="M116" s="28"/>
      <c r="N116" s="123"/>
      <c r="O116" s="123"/>
      <c r="P116" s="123" t="s">
        <v>1</v>
      </c>
      <c r="Q116" s="157" t="s">
        <v>1</v>
      </c>
      <c r="R116" s="642" t="s">
        <v>126</v>
      </c>
      <c r="S116" s="591"/>
      <c r="T116" s="158"/>
      <c r="U116" s="158"/>
      <c r="V116" s="158"/>
      <c r="W116" s="158"/>
      <c r="X116" s="158"/>
      <c r="Y116" s="158"/>
      <c r="Z116" s="158"/>
      <c r="AA116" s="158"/>
      <c r="AB116" s="158"/>
      <c r="AC116" s="152"/>
      <c r="AD116" s="124"/>
      <c r="AE116" s="54"/>
    </row>
    <row r="117" spans="1:38" ht="12.75" customHeight="1" x14ac:dyDescent="0.2">
      <c r="B117" s="124"/>
      <c r="C117" s="124"/>
      <c r="D117" s="124"/>
      <c r="E117" s="124"/>
      <c r="F117" s="124"/>
      <c r="G117" s="124"/>
      <c r="H117" s="124"/>
      <c r="I117" s="140" t="s">
        <v>49</v>
      </c>
      <c r="J117" s="52" t="s">
        <v>47</v>
      </c>
      <c r="K117" s="28"/>
      <c r="L117" s="76">
        <v>3000</v>
      </c>
      <c r="M117" s="24"/>
      <c r="N117" s="123"/>
      <c r="O117" s="123"/>
      <c r="P117" s="123" t="s">
        <v>1</v>
      </c>
      <c r="Q117" s="239" t="s">
        <v>125</v>
      </c>
      <c r="R117" s="591"/>
      <c r="S117" s="591"/>
      <c r="T117" s="124"/>
      <c r="U117" s="124"/>
      <c r="V117" s="124"/>
      <c r="W117" s="124"/>
      <c r="X117" s="124"/>
      <c r="Y117" s="124"/>
      <c r="Z117" s="124"/>
      <c r="AA117" s="124"/>
      <c r="AB117" s="124"/>
      <c r="AC117" s="124"/>
      <c r="AD117" s="124"/>
      <c r="AE117" s="54"/>
    </row>
    <row r="118" spans="1:38" x14ac:dyDescent="0.2">
      <c r="B118" s="124"/>
      <c r="C118" s="124"/>
      <c r="D118" s="124"/>
      <c r="E118" s="124"/>
      <c r="F118" s="124"/>
      <c r="G118" s="124"/>
      <c r="H118" s="124"/>
      <c r="I118" s="140" t="s">
        <v>50</v>
      </c>
      <c r="J118" s="52" t="s">
        <v>56</v>
      </c>
      <c r="K118" s="28"/>
      <c r="L118" s="76">
        <v>2</v>
      </c>
      <c r="M118" s="24"/>
      <c r="N118" s="123"/>
      <c r="O118" s="123"/>
      <c r="P118" s="123" t="s">
        <v>1</v>
      </c>
      <c r="Q118" s="159" t="s">
        <v>1</v>
      </c>
      <c r="R118" s="591"/>
      <c r="S118" s="591"/>
      <c r="T118" s="124"/>
      <c r="U118" s="124"/>
      <c r="V118" s="124"/>
      <c r="W118" s="124"/>
      <c r="X118" s="124"/>
      <c r="Y118" s="124"/>
      <c r="Z118" s="124"/>
      <c r="AA118" s="124"/>
      <c r="AB118" s="124"/>
      <c r="AC118" s="124"/>
      <c r="AD118" s="124"/>
      <c r="AE118" s="54"/>
    </row>
    <row r="119" spans="1:38" x14ac:dyDescent="0.2">
      <c r="B119" s="124"/>
      <c r="C119" s="124"/>
      <c r="D119" s="124"/>
      <c r="E119" s="124"/>
      <c r="F119" s="124"/>
      <c r="G119" s="124"/>
      <c r="H119" s="124"/>
      <c r="I119" s="140" t="s">
        <v>51</v>
      </c>
      <c r="J119" s="52" t="s">
        <v>106</v>
      </c>
      <c r="K119" s="28"/>
      <c r="L119" s="76">
        <v>45</v>
      </c>
      <c r="M119" s="24"/>
      <c r="N119" s="123"/>
      <c r="O119" s="123"/>
      <c r="P119" s="123"/>
      <c r="Q119" s="157"/>
      <c r="R119" s="591"/>
      <c r="S119" s="591"/>
      <c r="T119" s="152"/>
      <c r="U119" s="152"/>
      <c r="V119" s="152"/>
      <c r="W119" s="152"/>
      <c r="X119" s="152"/>
      <c r="Y119" s="152"/>
      <c r="Z119" s="152"/>
      <c r="AA119" s="152"/>
      <c r="AB119" s="152"/>
      <c r="AC119" s="124"/>
      <c r="AD119" s="124"/>
      <c r="AE119" s="54"/>
    </row>
    <row r="120" spans="1:38" x14ac:dyDescent="0.2">
      <c r="B120" s="124"/>
      <c r="C120" s="124"/>
      <c r="D120" s="124"/>
      <c r="E120" s="124"/>
      <c r="F120" s="124"/>
      <c r="G120" s="124"/>
      <c r="H120" s="124"/>
      <c r="I120" s="147" t="s">
        <v>52</v>
      </c>
      <c r="J120" s="27" t="s">
        <v>34</v>
      </c>
      <c r="K120" s="28"/>
      <c r="L120" s="76">
        <f>L119*0.9</f>
        <v>40.5</v>
      </c>
      <c r="M120" s="23"/>
      <c r="N120" s="123"/>
      <c r="O120" s="123"/>
      <c r="P120" s="123"/>
      <c r="Q120" s="157"/>
      <c r="R120" s="152"/>
      <c r="S120" s="152"/>
      <c r="T120" s="152"/>
      <c r="U120" s="152"/>
      <c r="V120" s="152"/>
      <c r="W120" s="152"/>
      <c r="X120" s="152"/>
      <c r="Y120" s="152"/>
      <c r="Z120" s="152"/>
      <c r="AA120" s="152"/>
      <c r="AB120" s="152"/>
      <c r="AC120" s="152"/>
      <c r="AD120" s="152"/>
      <c r="AE120" s="167"/>
    </row>
    <row r="121" spans="1:38" x14ac:dyDescent="0.2">
      <c r="B121" s="124"/>
      <c r="C121" s="124"/>
      <c r="D121" s="124"/>
      <c r="E121" s="124"/>
      <c r="F121" s="124"/>
      <c r="G121" s="124"/>
      <c r="H121" s="124"/>
      <c r="I121" s="140" t="s">
        <v>53</v>
      </c>
      <c r="J121" s="27" t="s">
        <v>35</v>
      </c>
      <c r="K121" s="28"/>
      <c r="L121" s="238">
        <v>40</v>
      </c>
      <c r="M121" s="23">
        <f>L121/45</f>
        <v>0.88888888888888884</v>
      </c>
      <c r="N121" s="123"/>
      <c r="O121" s="123"/>
      <c r="P121" s="123"/>
      <c r="Q121" s="157"/>
      <c r="R121" s="152"/>
      <c r="S121" s="152"/>
      <c r="T121" s="124"/>
      <c r="U121" s="124"/>
      <c r="V121" s="124"/>
      <c r="W121" s="124"/>
      <c r="X121" s="124"/>
      <c r="Y121" s="124"/>
      <c r="Z121" s="124"/>
      <c r="AA121" s="124"/>
      <c r="AB121" s="152"/>
      <c r="AC121" s="124"/>
      <c r="AD121" s="124"/>
      <c r="AE121" s="54"/>
    </row>
    <row r="122" spans="1:38" x14ac:dyDescent="0.2">
      <c r="B122" s="124"/>
      <c r="C122" s="124"/>
      <c r="D122" s="124"/>
      <c r="E122" s="124"/>
      <c r="F122" s="124"/>
      <c r="G122" s="124"/>
      <c r="H122" s="124"/>
      <c r="I122" s="140" t="s">
        <v>54</v>
      </c>
      <c r="J122" s="27" t="s">
        <v>36</v>
      </c>
      <c r="K122" s="28"/>
      <c r="L122" s="76">
        <v>4</v>
      </c>
      <c r="M122" s="28"/>
      <c r="N122" s="123"/>
      <c r="O122" s="123"/>
      <c r="P122" s="123"/>
      <c r="Q122" s="124"/>
      <c r="R122" s="152"/>
      <c r="S122" s="152"/>
      <c r="T122" s="152"/>
      <c r="U122" s="152"/>
      <c r="V122" s="152"/>
      <c r="W122" s="152"/>
      <c r="X122" s="152"/>
      <c r="Y122" s="152"/>
      <c r="Z122" s="152"/>
      <c r="AA122" s="152"/>
      <c r="AB122" s="152"/>
      <c r="AC122" s="124"/>
      <c r="AD122" s="124"/>
      <c r="AE122" s="54"/>
    </row>
    <row r="123" spans="1:38" x14ac:dyDescent="0.2">
      <c r="B123" s="124"/>
      <c r="C123" s="124"/>
      <c r="D123" s="124"/>
      <c r="E123" s="124"/>
      <c r="F123" s="124"/>
      <c r="G123" s="124"/>
      <c r="H123" s="124"/>
      <c r="I123" s="140"/>
      <c r="J123" s="23" t="s">
        <v>37</v>
      </c>
      <c r="K123" s="28"/>
      <c r="L123" s="77">
        <f>((L120*M121/3600))/1000</f>
        <v>1.0000000000000001E-5</v>
      </c>
      <c r="M123" s="28"/>
      <c r="N123" s="123"/>
      <c r="O123" s="123"/>
      <c r="P123" s="123"/>
      <c r="Q123" s="124"/>
      <c r="R123" s="152"/>
      <c r="S123" s="152"/>
      <c r="T123" s="152"/>
      <c r="U123" s="152"/>
      <c r="V123" s="152"/>
      <c r="W123" s="152"/>
      <c r="X123" s="152"/>
      <c r="Y123" s="152"/>
      <c r="Z123" s="152"/>
      <c r="AA123" s="152"/>
      <c r="AB123" s="152"/>
      <c r="AC123" s="124"/>
      <c r="AD123" s="124"/>
      <c r="AE123" s="54"/>
    </row>
    <row r="124" spans="1:38" x14ac:dyDescent="0.2">
      <c r="B124" s="124"/>
      <c r="C124" s="124"/>
      <c r="D124" s="124"/>
      <c r="E124" s="124"/>
      <c r="F124" s="124"/>
      <c r="G124" s="124"/>
      <c r="H124" s="124"/>
      <c r="I124" s="140"/>
      <c r="J124" s="237" t="s">
        <v>1</v>
      </c>
      <c r="K124" s="28"/>
      <c r="L124" s="77" t="s">
        <v>1</v>
      </c>
      <c r="M124" s="28"/>
      <c r="N124" s="123"/>
      <c r="O124" s="123"/>
      <c r="P124" s="123"/>
      <c r="Q124" s="124"/>
      <c r="R124" s="152"/>
      <c r="S124" s="152"/>
      <c r="T124" s="152"/>
      <c r="U124" s="152"/>
      <c r="V124" s="152"/>
      <c r="W124" s="152"/>
      <c r="X124" s="152"/>
      <c r="Y124" s="152"/>
      <c r="Z124" s="152"/>
      <c r="AA124" s="152"/>
      <c r="AB124" s="152"/>
      <c r="AC124" s="152"/>
      <c r="AD124" s="124"/>
      <c r="AE124" s="54"/>
    </row>
    <row r="125" spans="1:38" x14ac:dyDescent="0.2">
      <c r="B125" s="124"/>
      <c r="C125" s="124"/>
      <c r="D125" s="124"/>
      <c r="E125" s="124"/>
      <c r="F125" s="124"/>
      <c r="G125" s="124"/>
      <c r="H125" s="124"/>
      <c r="I125" s="140"/>
      <c r="J125" s="124"/>
      <c r="K125" s="152"/>
      <c r="L125" s="152"/>
      <c r="M125" s="152"/>
      <c r="N125" s="123"/>
      <c r="O125" s="123"/>
      <c r="P125" s="123"/>
      <c r="Q125" s="159" t="s">
        <v>1</v>
      </c>
      <c r="R125" s="124"/>
      <c r="S125" s="124"/>
      <c r="T125" s="124"/>
      <c r="U125" s="124"/>
      <c r="V125" s="124"/>
      <c r="W125" s="124"/>
      <c r="X125" s="124"/>
      <c r="Y125" s="124"/>
      <c r="Z125" s="124"/>
      <c r="AA125" s="124"/>
      <c r="AB125" s="124"/>
      <c r="AC125" s="124"/>
      <c r="AD125" s="124"/>
      <c r="AE125" s="54"/>
    </row>
    <row r="126" spans="1:38" x14ac:dyDescent="0.2">
      <c r="B126" s="124"/>
      <c r="C126" s="124"/>
      <c r="D126" s="124"/>
      <c r="E126" s="124"/>
      <c r="F126" s="124"/>
      <c r="G126" s="124"/>
      <c r="H126" s="124"/>
      <c r="I126" s="138"/>
      <c r="J126" s="124"/>
      <c r="K126" s="124" t="s">
        <v>1</v>
      </c>
      <c r="L126" s="124"/>
      <c r="M126" s="124"/>
      <c r="N126" s="123"/>
      <c r="O126" s="123"/>
      <c r="P126" s="123"/>
      <c r="Q126" s="159" t="s">
        <v>1</v>
      </c>
      <c r="R126" s="124"/>
      <c r="S126" s="124"/>
      <c r="T126" s="124"/>
      <c r="U126" s="124"/>
      <c r="V126" s="124"/>
      <c r="W126" s="124"/>
      <c r="X126" s="124"/>
      <c r="Y126" s="124"/>
      <c r="Z126" s="124"/>
      <c r="AA126" s="124"/>
      <c r="AB126" s="124"/>
      <c r="AC126" s="124"/>
      <c r="AD126" s="124"/>
      <c r="AE126" s="54"/>
    </row>
    <row r="127" spans="1:38" ht="13.5" thickBot="1" x14ac:dyDescent="0.25">
      <c r="B127" s="124"/>
      <c r="C127" s="124"/>
      <c r="D127" s="124"/>
      <c r="E127" s="124"/>
      <c r="F127" s="124"/>
      <c r="G127" s="124"/>
      <c r="H127" s="124"/>
      <c r="I127" s="138"/>
      <c r="J127" s="123" t="s">
        <v>72</v>
      </c>
      <c r="K127" s="123"/>
      <c r="L127" s="123"/>
      <c r="M127" s="123"/>
      <c r="N127" s="123"/>
      <c r="O127" s="123"/>
      <c r="P127" s="123"/>
      <c r="Q127" s="124"/>
      <c r="R127" s="124"/>
      <c r="S127" s="124"/>
      <c r="T127" s="124"/>
      <c r="U127" s="124"/>
      <c r="V127" s="124"/>
      <c r="W127" s="124"/>
      <c r="X127" s="124"/>
      <c r="Y127" s="124"/>
      <c r="Z127" s="124"/>
      <c r="AA127" s="124"/>
      <c r="AB127" s="124"/>
      <c r="AC127" s="124"/>
      <c r="AD127" s="124"/>
      <c r="AE127" s="54"/>
    </row>
    <row r="128" spans="1:38" ht="41.25" customHeight="1" x14ac:dyDescent="0.2">
      <c r="B128" s="124"/>
      <c r="C128" s="124"/>
      <c r="D128" s="124"/>
      <c r="E128" s="124"/>
      <c r="F128" s="124"/>
      <c r="G128" s="124"/>
      <c r="H128" s="124"/>
      <c r="I128" s="613" t="s">
        <v>71</v>
      </c>
      <c r="J128" s="614"/>
      <c r="K128" s="6" t="s">
        <v>67</v>
      </c>
      <c r="L128" s="6" t="s">
        <v>68</v>
      </c>
      <c r="M128" s="6" t="s">
        <v>69</v>
      </c>
      <c r="N128" s="7" t="s">
        <v>137</v>
      </c>
      <c r="O128" s="8"/>
      <c r="P128" s="13"/>
      <c r="Q128" s="124"/>
      <c r="R128" s="124"/>
      <c r="S128" s="124"/>
      <c r="T128" s="124"/>
      <c r="U128" s="124"/>
      <c r="V128" s="124"/>
      <c r="W128" s="124"/>
      <c r="X128" s="124"/>
      <c r="Y128" s="124"/>
      <c r="Z128" s="124"/>
      <c r="AA128" s="124"/>
      <c r="AB128" s="124"/>
      <c r="AC128" s="124"/>
      <c r="AD128" s="124"/>
      <c r="AE128" s="54"/>
    </row>
    <row r="129" spans="2:31" x14ac:dyDescent="0.2">
      <c r="B129" s="124"/>
      <c r="C129" s="124"/>
      <c r="D129" s="124"/>
      <c r="E129" s="124"/>
      <c r="F129" s="124"/>
      <c r="G129" s="124"/>
      <c r="H129" s="124"/>
      <c r="I129" s="612" t="s">
        <v>66</v>
      </c>
      <c r="J129" s="576"/>
      <c r="K129" s="8">
        <v>59</v>
      </c>
      <c r="L129" s="8">
        <v>2.3779999999999999E-3</v>
      </c>
      <c r="M129" s="8"/>
      <c r="N129" s="9"/>
      <c r="O129" s="8"/>
      <c r="P129" s="13"/>
      <c r="Q129" s="124"/>
      <c r="R129" s="124"/>
      <c r="S129" s="124"/>
      <c r="T129" s="124"/>
      <c r="U129" s="124"/>
      <c r="V129" s="124"/>
      <c r="W129" s="124"/>
      <c r="X129" s="124"/>
      <c r="Y129" s="124"/>
      <c r="Z129" s="124"/>
      <c r="AA129" s="124"/>
      <c r="AB129" s="124"/>
      <c r="AC129" s="124"/>
      <c r="AD129" s="124"/>
      <c r="AE129" s="54"/>
    </row>
    <row r="130" spans="2:31" x14ac:dyDescent="0.2">
      <c r="B130" s="124"/>
      <c r="C130" s="124"/>
      <c r="D130" s="124"/>
      <c r="E130" s="124"/>
      <c r="F130" s="124"/>
      <c r="G130" s="124"/>
      <c r="H130" s="124"/>
      <c r="I130" s="410"/>
      <c r="J130" s="409"/>
      <c r="K130" s="8">
        <v>-15</v>
      </c>
      <c r="L130" s="8">
        <f t="shared" ref="L130:L135" si="29" xml:space="preserve"> -0.000004*K130 + 0.0026</f>
        <v>2.66E-3</v>
      </c>
      <c r="M130" s="8">
        <f t="shared" ref="M130:M135" si="30">L$129/L130</f>
        <v>0.89398496240601499</v>
      </c>
      <c r="N130" s="9">
        <f t="shared" ref="N130:N135" si="31">1/M130</f>
        <v>1.1185870479394449</v>
      </c>
      <c r="O130" s="8"/>
      <c r="P130" s="13"/>
      <c r="Q130" s="124"/>
      <c r="R130" s="124"/>
      <c r="S130" s="124"/>
      <c r="T130" s="124"/>
      <c r="U130" s="124"/>
      <c r="V130" s="124"/>
      <c r="W130" s="124"/>
      <c r="X130" s="124"/>
      <c r="Y130" s="124"/>
      <c r="Z130" s="124"/>
      <c r="AA130" s="124"/>
      <c r="AB130" s="124"/>
      <c r="AC130" s="124"/>
      <c r="AD130" s="124"/>
      <c r="AE130" s="54"/>
    </row>
    <row r="131" spans="2:31" x14ac:dyDescent="0.2">
      <c r="B131" s="124"/>
      <c r="C131" s="124"/>
      <c r="D131" s="124"/>
      <c r="E131" s="124"/>
      <c r="F131" s="124"/>
      <c r="G131" s="124"/>
      <c r="H131" s="124"/>
      <c r="I131" s="410"/>
      <c r="J131" s="409"/>
      <c r="K131" s="8">
        <v>-10</v>
      </c>
      <c r="L131" s="8">
        <f t="shared" si="29"/>
        <v>2.64E-3</v>
      </c>
      <c r="M131" s="8">
        <f t="shared" si="30"/>
        <v>0.90075757575757576</v>
      </c>
      <c r="N131" s="9">
        <f t="shared" si="31"/>
        <v>1.1101766190075695</v>
      </c>
      <c r="O131" s="8"/>
      <c r="P131" s="13"/>
      <c r="Q131" s="124"/>
      <c r="R131" s="124"/>
      <c r="S131" s="124"/>
      <c r="T131" s="124"/>
      <c r="U131" s="124"/>
      <c r="V131" s="124"/>
      <c r="W131" s="124"/>
      <c r="X131" s="124"/>
      <c r="Y131" s="124"/>
      <c r="Z131" s="124"/>
      <c r="AA131" s="124"/>
      <c r="AB131" s="124"/>
      <c r="AC131" s="124"/>
      <c r="AD131" s="124"/>
      <c r="AE131" s="54"/>
    </row>
    <row r="132" spans="2:31" x14ac:dyDescent="0.2">
      <c r="B132" s="124"/>
      <c r="C132" s="124"/>
      <c r="D132" s="124"/>
      <c r="E132" s="124"/>
      <c r="F132" s="124"/>
      <c r="G132" s="124"/>
      <c r="H132" s="124"/>
      <c r="I132" s="410"/>
      <c r="J132" s="409"/>
      <c r="K132" s="8">
        <v>-5</v>
      </c>
      <c r="L132" s="8">
        <f t="shared" si="29"/>
        <v>2.6199999999999999E-3</v>
      </c>
      <c r="M132" s="8">
        <f t="shared" si="30"/>
        <v>0.90763358778625958</v>
      </c>
      <c r="N132" s="9">
        <f t="shared" si="31"/>
        <v>1.1017661900756939</v>
      </c>
      <c r="O132" s="8"/>
      <c r="P132" s="13"/>
      <c r="Q132" s="124"/>
      <c r="R132" s="124"/>
      <c r="S132" s="124"/>
      <c r="T132" s="124"/>
      <c r="U132" s="124"/>
      <c r="V132" s="124"/>
      <c r="W132" s="124"/>
      <c r="X132" s="124"/>
      <c r="Y132" s="124"/>
      <c r="Z132" s="124"/>
      <c r="AA132" s="124"/>
      <c r="AB132" s="124"/>
      <c r="AC132" s="124"/>
      <c r="AD132" s="124"/>
      <c r="AE132" s="54"/>
    </row>
    <row r="133" spans="2:31" x14ac:dyDescent="0.2">
      <c r="B133" s="124"/>
      <c r="C133" s="124"/>
      <c r="D133" s="124"/>
      <c r="E133" s="124"/>
      <c r="F133" s="124"/>
      <c r="G133" s="124"/>
      <c r="H133" s="124"/>
      <c r="I133" s="410"/>
      <c r="J133" s="409"/>
      <c r="K133" s="8">
        <v>0</v>
      </c>
      <c r="L133" s="8">
        <f t="shared" si="29"/>
        <v>2.5999999999999999E-3</v>
      </c>
      <c r="M133" s="8">
        <f t="shared" si="30"/>
        <v>0.91461538461538461</v>
      </c>
      <c r="N133" s="9">
        <f t="shared" si="31"/>
        <v>1.0933557611438183</v>
      </c>
      <c r="O133" s="8"/>
      <c r="P133" s="13"/>
      <c r="Q133" s="124"/>
      <c r="R133" s="124"/>
      <c r="S133" s="124"/>
      <c r="T133" s="124"/>
      <c r="U133" s="124"/>
      <c r="V133" s="124"/>
      <c r="W133" s="124"/>
      <c r="X133" s="124"/>
      <c r="Y133" s="124"/>
      <c r="Z133" s="124"/>
      <c r="AA133" s="124"/>
      <c r="AB133" s="124"/>
      <c r="AC133" s="124"/>
      <c r="AD133" s="124"/>
      <c r="AE133" s="54"/>
    </row>
    <row r="134" spans="2:31" x14ac:dyDescent="0.2">
      <c r="B134" s="124"/>
      <c r="C134" s="124"/>
      <c r="D134" s="124"/>
      <c r="E134" s="124"/>
      <c r="F134" s="124"/>
      <c r="G134" s="124"/>
      <c r="H134" s="124"/>
      <c r="I134" s="410"/>
      <c r="J134" s="409"/>
      <c r="K134" s="8">
        <v>5</v>
      </c>
      <c r="L134" s="8">
        <f t="shared" si="29"/>
        <v>2.5799999999999998E-3</v>
      </c>
      <c r="M134" s="8">
        <f t="shared" si="30"/>
        <v>0.92170542635658914</v>
      </c>
      <c r="N134" s="9">
        <f t="shared" si="31"/>
        <v>1.0849453322119429</v>
      </c>
      <c r="O134" s="8"/>
      <c r="P134" s="13"/>
      <c r="Q134" s="124"/>
      <c r="R134" s="124"/>
      <c r="S134" s="124"/>
      <c r="T134" s="124"/>
      <c r="U134" s="124"/>
      <c r="V134" s="124"/>
      <c r="W134" s="124"/>
      <c r="X134" s="124"/>
      <c r="Y134" s="124"/>
      <c r="Z134" s="124"/>
      <c r="AA134" s="124"/>
      <c r="AB134" s="124"/>
      <c r="AC134" s="124"/>
      <c r="AD134" s="124"/>
      <c r="AE134" s="54"/>
    </row>
    <row r="135" spans="2:31" x14ac:dyDescent="0.2">
      <c r="B135" s="124"/>
      <c r="C135" s="124"/>
      <c r="D135" s="124"/>
      <c r="E135" s="124"/>
      <c r="F135" s="124"/>
      <c r="G135" s="124"/>
      <c r="H135" s="124"/>
      <c r="I135" s="410"/>
      <c r="J135" s="409"/>
      <c r="K135" s="8">
        <v>10</v>
      </c>
      <c r="L135" s="8">
        <f t="shared" si="29"/>
        <v>2.5599999999999998E-3</v>
      </c>
      <c r="M135" s="8">
        <f t="shared" si="30"/>
        <v>0.92890625000000004</v>
      </c>
      <c r="N135" s="9">
        <f t="shared" si="31"/>
        <v>1.0765349032800673</v>
      </c>
      <c r="O135" s="8"/>
      <c r="P135" s="13"/>
      <c r="Q135" s="124"/>
      <c r="R135" s="124"/>
      <c r="S135" s="124"/>
      <c r="T135" s="124"/>
      <c r="U135" s="124"/>
      <c r="V135" s="124"/>
      <c r="W135" s="124"/>
      <c r="X135" s="124"/>
      <c r="Y135" s="124"/>
      <c r="Z135" s="124"/>
      <c r="AA135" s="124"/>
      <c r="AB135" s="124"/>
      <c r="AC135" s="124"/>
      <c r="AD135" s="124"/>
      <c r="AE135" s="54"/>
    </row>
    <row r="136" spans="2:31" x14ac:dyDescent="0.2">
      <c r="B136" s="124"/>
      <c r="C136" s="124"/>
      <c r="D136" s="124"/>
      <c r="E136" s="124"/>
      <c r="F136" s="124"/>
      <c r="G136" s="124"/>
      <c r="H136" s="124"/>
      <c r="I136" s="178"/>
      <c r="J136" s="8"/>
      <c r="K136" s="8">
        <v>15</v>
      </c>
      <c r="L136" s="8">
        <f t="shared" ref="L136:L144" si="32" xml:space="preserve"> -0.000004*K136 + 0.0026</f>
        <v>2.5399999999999997E-3</v>
      </c>
      <c r="M136" s="8">
        <f t="shared" ref="M136:M153" si="33">L$129/L136</f>
        <v>0.93622047244094497</v>
      </c>
      <c r="N136" s="9">
        <f t="shared" ref="N136:N153" si="34">1/M136</f>
        <v>1.0681244743481917</v>
      </c>
      <c r="O136" s="8"/>
      <c r="P136" s="13"/>
      <c r="Q136" s="124"/>
      <c r="R136" s="124"/>
      <c r="S136" s="124"/>
      <c r="T136" s="124"/>
      <c r="U136" s="124"/>
      <c r="V136" s="124"/>
      <c r="W136" s="124"/>
      <c r="X136" s="124"/>
      <c r="Y136" s="124"/>
      <c r="Z136" s="124"/>
      <c r="AA136" s="124"/>
      <c r="AB136" s="124"/>
      <c r="AC136" s="124"/>
      <c r="AD136" s="124"/>
      <c r="AE136" s="54"/>
    </row>
    <row r="137" spans="2:31" x14ac:dyDescent="0.2">
      <c r="B137" s="124"/>
      <c r="C137" s="124"/>
      <c r="D137" s="124"/>
      <c r="E137" s="124"/>
      <c r="F137" s="124"/>
      <c r="G137" s="124"/>
      <c r="H137" s="124"/>
      <c r="I137" s="178"/>
      <c r="J137" s="8"/>
      <c r="K137" s="8">
        <v>20</v>
      </c>
      <c r="L137" s="8">
        <f t="shared" si="32"/>
        <v>2.5199999999999997E-3</v>
      </c>
      <c r="M137" s="8">
        <f t="shared" si="33"/>
        <v>0.94365079365079374</v>
      </c>
      <c r="N137" s="9">
        <f t="shared" si="34"/>
        <v>1.0597140454163161</v>
      </c>
      <c r="O137" s="8"/>
      <c r="P137" s="13"/>
      <c r="Q137" s="152"/>
      <c r="R137" s="152"/>
      <c r="S137" s="152"/>
      <c r="T137" s="152"/>
      <c r="U137" s="152"/>
      <c r="V137" s="152"/>
      <c r="W137" s="152"/>
      <c r="X137" s="152"/>
      <c r="Y137" s="152"/>
      <c r="Z137" s="152"/>
      <c r="AA137" s="152"/>
      <c r="AB137" s="152"/>
      <c r="AC137" s="152"/>
      <c r="AD137" s="124"/>
      <c r="AE137" s="54"/>
    </row>
    <row r="138" spans="2:31" x14ac:dyDescent="0.2">
      <c r="B138" s="124"/>
      <c r="C138" s="124"/>
      <c r="D138" s="124"/>
      <c r="E138" s="124"/>
      <c r="F138" s="124"/>
      <c r="G138" s="124"/>
      <c r="H138" s="124"/>
      <c r="I138" s="178"/>
      <c r="J138" s="8"/>
      <c r="K138" s="8">
        <v>25</v>
      </c>
      <c r="L138" s="8">
        <f t="shared" si="32"/>
        <v>2.5000000000000001E-3</v>
      </c>
      <c r="M138" s="8">
        <f t="shared" si="33"/>
        <v>0.95119999999999993</v>
      </c>
      <c r="N138" s="9">
        <f t="shared" si="34"/>
        <v>1.0513036164844407</v>
      </c>
      <c r="O138" s="8"/>
      <c r="P138" s="13"/>
      <c r="Q138" s="152" t="s">
        <v>1</v>
      </c>
      <c r="R138" s="152"/>
      <c r="S138" s="152"/>
      <c r="T138" s="152"/>
      <c r="U138" s="152"/>
      <c r="V138" s="152"/>
      <c r="W138" s="152"/>
      <c r="X138" s="152"/>
      <c r="Y138" s="152"/>
      <c r="Z138" s="152"/>
      <c r="AA138" s="152"/>
      <c r="AB138" s="152"/>
      <c r="AC138" s="152"/>
      <c r="AD138" s="124"/>
      <c r="AE138" s="54"/>
    </row>
    <row r="139" spans="2:31" x14ac:dyDescent="0.2">
      <c r="B139" s="124"/>
      <c r="C139" s="124"/>
      <c r="D139" s="124"/>
      <c r="E139" s="124"/>
      <c r="F139" s="124"/>
      <c r="G139" s="124"/>
      <c r="H139" s="124"/>
      <c r="I139" s="178"/>
      <c r="J139" s="8"/>
      <c r="K139" s="8">
        <v>30</v>
      </c>
      <c r="L139" s="8">
        <f t="shared" si="32"/>
        <v>2.48E-3</v>
      </c>
      <c r="M139" s="8">
        <f t="shared" si="33"/>
        <v>0.95887096774193548</v>
      </c>
      <c r="N139" s="9">
        <f t="shared" si="34"/>
        <v>1.0428931875525651</v>
      </c>
      <c r="O139" s="8"/>
      <c r="P139" s="13"/>
      <c r="Q139" s="124"/>
      <c r="R139" s="124"/>
      <c r="S139" s="124"/>
      <c r="T139" s="124"/>
      <c r="U139" s="124"/>
      <c r="V139" s="124"/>
      <c r="W139" s="124"/>
      <c r="X139" s="124"/>
      <c r="Y139" s="124"/>
      <c r="Z139" s="124"/>
      <c r="AA139" s="124"/>
      <c r="AB139" s="124"/>
      <c r="AC139" s="124"/>
      <c r="AD139" s="124"/>
      <c r="AE139" s="54"/>
    </row>
    <row r="140" spans="2:31" x14ac:dyDescent="0.2">
      <c r="B140" s="124"/>
      <c r="C140" s="124"/>
      <c r="D140" s="124"/>
      <c r="E140" s="124"/>
      <c r="F140" s="124"/>
      <c r="G140" s="124"/>
      <c r="H140" s="124"/>
      <c r="I140" s="178"/>
      <c r="J140" s="8"/>
      <c r="K140" s="8">
        <v>35</v>
      </c>
      <c r="L140" s="8">
        <f t="shared" si="32"/>
        <v>2.4599999999999999E-3</v>
      </c>
      <c r="M140" s="8">
        <f t="shared" si="33"/>
        <v>0.96666666666666667</v>
      </c>
      <c r="N140" s="9">
        <f t="shared" si="34"/>
        <v>1.0344827586206897</v>
      </c>
      <c r="O140" s="8"/>
      <c r="P140" s="13"/>
      <c r="Q140" s="124"/>
      <c r="R140" s="124"/>
      <c r="S140" s="124"/>
      <c r="T140" s="124"/>
      <c r="U140" s="124"/>
      <c r="V140" s="124"/>
      <c r="W140" s="124"/>
      <c r="X140" s="124"/>
      <c r="Y140" s="124"/>
      <c r="Z140" s="124"/>
      <c r="AA140" s="124"/>
      <c r="AB140" s="124"/>
      <c r="AC140" s="124"/>
      <c r="AD140" s="124"/>
      <c r="AE140" s="54"/>
    </row>
    <row r="141" spans="2:31" x14ac:dyDescent="0.2">
      <c r="B141" s="124"/>
      <c r="C141" s="124"/>
      <c r="D141" s="124"/>
      <c r="E141" s="124"/>
      <c r="F141" s="124"/>
      <c r="G141" s="124"/>
      <c r="H141" s="124"/>
      <c r="I141" s="178"/>
      <c r="J141" s="8"/>
      <c r="K141" s="8">
        <v>40</v>
      </c>
      <c r="L141" s="8">
        <f t="shared" si="32"/>
        <v>2.4399999999999999E-3</v>
      </c>
      <c r="M141" s="8">
        <f t="shared" si="33"/>
        <v>0.97459016393442621</v>
      </c>
      <c r="N141" s="9">
        <f t="shared" si="34"/>
        <v>1.0260723296888141</v>
      </c>
      <c r="O141" s="8"/>
      <c r="P141" s="13"/>
      <c r="Q141" s="124"/>
      <c r="R141" s="124"/>
      <c r="S141" s="124"/>
      <c r="T141" s="124"/>
      <c r="U141" s="124"/>
      <c r="V141" s="124"/>
      <c r="W141" s="124"/>
      <c r="X141" s="124"/>
      <c r="Y141" s="124"/>
      <c r="Z141" s="124"/>
      <c r="AA141" s="124"/>
      <c r="AB141" s="124"/>
      <c r="AC141" s="124"/>
      <c r="AD141" s="124"/>
      <c r="AE141" s="54"/>
    </row>
    <row r="142" spans="2:31" x14ac:dyDescent="0.2">
      <c r="B142" s="124"/>
      <c r="C142" s="124"/>
      <c r="D142" s="124"/>
      <c r="E142" s="124"/>
      <c r="F142" s="124"/>
      <c r="G142" s="124"/>
      <c r="H142" s="124"/>
      <c r="I142" s="178"/>
      <c r="J142" s="8"/>
      <c r="K142" s="8">
        <v>45</v>
      </c>
      <c r="L142" s="8">
        <f t="shared" si="32"/>
        <v>2.4199999999999998E-3</v>
      </c>
      <c r="M142" s="8">
        <f t="shared" si="33"/>
        <v>0.98264462809917363</v>
      </c>
      <c r="N142" s="9">
        <f t="shared" si="34"/>
        <v>1.0176619007569385</v>
      </c>
      <c r="O142" s="8"/>
      <c r="P142" s="13"/>
      <c r="Q142" s="124"/>
      <c r="R142" s="124"/>
      <c r="S142" s="124"/>
      <c r="T142" s="124"/>
      <c r="U142" s="124"/>
      <c r="V142" s="124"/>
      <c r="W142" s="124"/>
      <c r="X142" s="124"/>
      <c r="Y142" s="124"/>
      <c r="Z142" s="124"/>
      <c r="AA142" s="124"/>
      <c r="AB142" s="124"/>
      <c r="AC142" s="124"/>
      <c r="AD142" s="124"/>
      <c r="AE142" s="54"/>
    </row>
    <row r="143" spans="2:31" x14ac:dyDescent="0.2">
      <c r="B143" s="124"/>
      <c r="C143" s="124"/>
      <c r="D143" s="124"/>
      <c r="E143" s="124"/>
      <c r="F143" s="124"/>
      <c r="G143" s="124"/>
      <c r="H143" s="124"/>
      <c r="I143" s="178"/>
      <c r="J143" s="8"/>
      <c r="K143" s="8">
        <v>50</v>
      </c>
      <c r="L143" s="8">
        <f t="shared" si="32"/>
        <v>2.3999999999999998E-3</v>
      </c>
      <c r="M143" s="8">
        <f t="shared" si="33"/>
        <v>0.99083333333333334</v>
      </c>
      <c r="N143" s="9">
        <f t="shared" si="34"/>
        <v>1.0092514718250631</v>
      </c>
      <c r="O143" s="8"/>
      <c r="P143" s="13"/>
      <c r="Q143" s="124"/>
      <c r="R143" s="124"/>
      <c r="S143" s="124"/>
      <c r="T143" s="124"/>
      <c r="U143" s="124"/>
      <c r="V143" s="124"/>
      <c r="W143" s="124"/>
      <c r="X143" s="124"/>
      <c r="Y143" s="124"/>
      <c r="Z143" s="124"/>
      <c r="AA143" s="124"/>
      <c r="AB143" s="124"/>
      <c r="AC143" s="124"/>
      <c r="AD143" s="124"/>
      <c r="AE143" s="54"/>
    </row>
    <row r="144" spans="2:31" x14ac:dyDescent="0.2">
      <c r="B144" s="124"/>
      <c r="C144" s="124"/>
      <c r="D144" s="124"/>
      <c r="E144" s="124"/>
      <c r="F144" s="124"/>
      <c r="G144" s="124"/>
      <c r="H144" s="124"/>
      <c r="I144" s="178"/>
      <c r="J144" s="8"/>
      <c r="K144" s="8">
        <v>55</v>
      </c>
      <c r="L144" s="8">
        <f t="shared" si="32"/>
        <v>2.3799999999999997E-3</v>
      </c>
      <c r="M144" s="8">
        <f t="shared" si="33"/>
        <v>0.99915966386554633</v>
      </c>
      <c r="N144" s="9">
        <f t="shared" si="34"/>
        <v>1.0008410428931875</v>
      </c>
      <c r="O144" s="8"/>
      <c r="P144" s="13"/>
      <c r="Q144" s="124"/>
      <c r="R144" s="124"/>
      <c r="S144" s="124"/>
      <c r="T144" s="124"/>
      <c r="U144" s="124"/>
      <c r="V144" s="124"/>
      <c r="W144" s="124"/>
      <c r="X144" s="124"/>
      <c r="Y144" s="124"/>
      <c r="Z144" s="124"/>
      <c r="AA144" s="124"/>
      <c r="AB144" s="124"/>
      <c r="AC144" s="124"/>
      <c r="AD144" s="124"/>
      <c r="AE144" s="54"/>
    </row>
    <row r="145" spans="2:31" x14ac:dyDescent="0.2">
      <c r="B145" s="124"/>
      <c r="C145" s="124"/>
      <c r="D145" s="124"/>
      <c r="E145" s="124"/>
      <c r="F145" s="124"/>
      <c r="G145" s="124"/>
      <c r="H145" s="124"/>
      <c r="I145" s="178"/>
      <c r="J145" s="8"/>
      <c r="K145" s="8">
        <v>60</v>
      </c>
      <c r="L145" s="8">
        <v>2.3779999999999999E-3</v>
      </c>
      <c r="M145" s="8">
        <f t="shared" si="33"/>
        <v>1</v>
      </c>
      <c r="N145" s="9">
        <f t="shared" si="34"/>
        <v>1</v>
      </c>
      <c r="O145" s="8"/>
      <c r="P145" s="13"/>
      <c r="Q145" s="124"/>
      <c r="R145" s="124"/>
      <c r="S145" s="124"/>
      <c r="T145" s="124"/>
      <c r="U145" s="124"/>
      <c r="V145" s="124"/>
      <c r="W145" s="124"/>
      <c r="X145" s="124"/>
      <c r="Y145" s="124"/>
      <c r="Z145" s="124"/>
      <c r="AA145" s="124"/>
      <c r="AB145" s="124"/>
      <c r="AC145" s="124"/>
      <c r="AD145" s="124"/>
      <c r="AE145" s="54"/>
    </row>
    <row r="146" spans="2:31" x14ac:dyDescent="0.2">
      <c r="B146" s="124"/>
      <c r="C146" s="124"/>
      <c r="D146" s="124"/>
      <c r="E146" s="124"/>
      <c r="F146" s="124"/>
      <c r="G146" s="124"/>
      <c r="H146" s="124"/>
      <c r="I146" s="178"/>
      <c r="J146" s="8"/>
      <c r="K146" s="8">
        <v>65</v>
      </c>
      <c r="L146" s="8">
        <f t="shared" ref="L146:L152" si="35" xml:space="preserve"> -0.000004*K146 + 0.0026</f>
        <v>2.3400000000000001E-3</v>
      </c>
      <c r="M146" s="8">
        <f t="shared" si="33"/>
        <v>1.0162393162393162</v>
      </c>
      <c r="N146" s="9">
        <f t="shared" si="34"/>
        <v>0.98402018502943656</v>
      </c>
      <c r="O146" s="8"/>
      <c r="P146" s="13"/>
      <c r="Q146" s="124"/>
      <c r="R146" s="124"/>
      <c r="S146" s="124"/>
      <c r="T146" s="124"/>
      <c r="U146" s="124"/>
      <c r="V146" s="124"/>
      <c r="W146" s="124"/>
      <c r="X146" s="124"/>
      <c r="Y146" s="124"/>
      <c r="Z146" s="124"/>
      <c r="AA146" s="124"/>
      <c r="AB146" s="124"/>
      <c r="AC146" s="124"/>
      <c r="AD146" s="124"/>
      <c r="AE146" s="54"/>
    </row>
    <row r="147" spans="2:31" x14ac:dyDescent="0.2">
      <c r="B147" s="124"/>
      <c r="C147" s="124"/>
      <c r="D147" s="124"/>
      <c r="E147" s="124"/>
      <c r="F147" s="124"/>
      <c r="G147" s="124"/>
      <c r="H147" s="124"/>
      <c r="I147" s="178"/>
      <c r="J147" s="8"/>
      <c r="K147" s="8">
        <v>70</v>
      </c>
      <c r="L147" s="8">
        <f t="shared" si="35"/>
        <v>2.32E-3</v>
      </c>
      <c r="M147" s="8">
        <f t="shared" si="33"/>
        <v>1.0249999999999999</v>
      </c>
      <c r="N147" s="9">
        <f t="shared" si="34"/>
        <v>0.97560975609756106</v>
      </c>
      <c r="O147" s="8"/>
      <c r="P147" s="13"/>
      <c r="Q147" s="124"/>
      <c r="R147" s="124"/>
      <c r="S147" s="124"/>
      <c r="T147" s="124"/>
      <c r="U147" s="124"/>
      <c r="V147" s="124"/>
      <c r="W147" s="124"/>
      <c r="X147" s="124"/>
      <c r="Y147" s="124"/>
      <c r="Z147" s="124"/>
      <c r="AA147" s="124"/>
      <c r="AB147" s="124"/>
      <c r="AC147" s="124"/>
      <c r="AD147" s="124"/>
      <c r="AE147" s="54"/>
    </row>
    <row r="148" spans="2:31" x14ac:dyDescent="0.2">
      <c r="B148" s="124"/>
      <c r="C148" s="124"/>
      <c r="D148" s="124"/>
      <c r="E148" s="124"/>
      <c r="F148" s="124"/>
      <c r="G148" s="124"/>
      <c r="H148" s="124"/>
      <c r="I148" s="178"/>
      <c r="J148" s="8"/>
      <c r="K148" s="8">
        <v>75</v>
      </c>
      <c r="L148" s="8">
        <f t="shared" si="35"/>
        <v>2.3E-3</v>
      </c>
      <c r="M148" s="8">
        <f t="shared" si="33"/>
        <v>1.0339130434782609</v>
      </c>
      <c r="N148" s="9">
        <f t="shared" si="34"/>
        <v>0.96719932716568546</v>
      </c>
      <c r="O148" s="8"/>
      <c r="P148" s="13"/>
      <c r="Q148" s="124"/>
      <c r="R148" s="124"/>
      <c r="S148" s="124"/>
      <c r="T148" s="124"/>
      <c r="U148" s="124"/>
      <c r="V148" s="124"/>
      <c r="W148" s="124"/>
      <c r="X148" s="124"/>
      <c r="Y148" s="124"/>
      <c r="Z148" s="124"/>
      <c r="AA148" s="124"/>
      <c r="AB148" s="124"/>
      <c r="AC148" s="124"/>
      <c r="AD148" s="124"/>
      <c r="AE148" s="54"/>
    </row>
    <row r="149" spans="2:31" x14ac:dyDescent="0.2">
      <c r="B149" s="124"/>
      <c r="C149" s="124"/>
      <c r="D149" s="124"/>
      <c r="E149" s="124"/>
      <c r="F149" s="124"/>
      <c r="G149" s="124"/>
      <c r="H149" s="124"/>
      <c r="I149" s="178"/>
      <c r="J149" s="8"/>
      <c r="K149" s="8">
        <v>80</v>
      </c>
      <c r="L149" s="8">
        <f t="shared" si="35"/>
        <v>2.2799999999999999E-3</v>
      </c>
      <c r="M149" s="8">
        <f t="shared" si="33"/>
        <v>1.0429824561403509</v>
      </c>
      <c r="N149" s="9">
        <f t="shared" si="34"/>
        <v>0.95878889823380986</v>
      </c>
      <c r="O149" s="8"/>
      <c r="P149" s="13"/>
      <c r="Q149" s="124"/>
      <c r="R149" s="124"/>
      <c r="S149" s="124"/>
      <c r="T149" s="124"/>
      <c r="U149" s="124"/>
      <c r="V149" s="124"/>
      <c r="W149" s="124"/>
      <c r="X149" s="124"/>
      <c r="Y149" s="124"/>
      <c r="Z149" s="124"/>
      <c r="AA149" s="124"/>
      <c r="AB149" s="124"/>
      <c r="AC149" s="124"/>
      <c r="AD149" s="124"/>
      <c r="AE149" s="54"/>
    </row>
    <row r="150" spans="2:31" x14ac:dyDescent="0.2">
      <c r="B150" s="124"/>
      <c r="C150" s="124"/>
      <c r="D150" s="124"/>
      <c r="E150" s="124"/>
      <c r="F150" s="124"/>
      <c r="G150" s="124"/>
      <c r="H150" s="124"/>
      <c r="I150" s="178"/>
      <c r="J150" s="8"/>
      <c r="K150" s="8">
        <v>85</v>
      </c>
      <c r="L150" s="8">
        <f t="shared" si="35"/>
        <v>2.2599999999999999E-3</v>
      </c>
      <c r="M150" s="8">
        <f t="shared" si="33"/>
        <v>1.0522123893805311</v>
      </c>
      <c r="N150" s="9">
        <f t="shared" si="34"/>
        <v>0.95037846930193426</v>
      </c>
      <c r="O150" s="8"/>
      <c r="P150" s="13"/>
      <c r="Q150" s="124"/>
      <c r="R150" s="124"/>
      <c r="S150" s="124"/>
      <c r="T150" s="124"/>
      <c r="U150" s="124"/>
      <c r="V150" s="124"/>
      <c r="W150" s="124"/>
      <c r="X150" s="124"/>
      <c r="Y150" s="124"/>
      <c r="Z150" s="124"/>
      <c r="AA150" s="124"/>
      <c r="AB150" s="124"/>
      <c r="AC150" s="124"/>
      <c r="AD150" s="124"/>
      <c r="AE150" s="54"/>
    </row>
    <row r="151" spans="2:31" x14ac:dyDescent="0.2">
      <c r="B151" s="124"/>
      <c r="C151" s="124"/>
      <c r="D151" s="124"/>
      <c r="E151" s="124"/>
      <c r="F151" s="124"/>
      <c r="G151" s="124"/>
      <c r="H151" s="124"/>
      <c r="I151" s="178"/>
      <c r="J151" s="8"/>
      <c r="K151" s="8">
        <v>90</v>
      </c>
      <c r="L151" s="8">
        <f t="shared" si="35"/>
        <v>2.2399999999999998E-3</v>
      </c>
      <c r="M151" s="8">
        <f t="shared" si="33"/>
        <v>1.061607142857143</v>
      </c>
      <c r="N151" s="9">
        <f t="shared" si="34"/>
        <v>0.94196804037005877</v>
      </c>
      <c r="O151" s="8"/>
      <c r="P151" s="13"/>
      <c r="Q151" s="124"/>
      <c r="R151" s="124"/>
      <c r="S151" s="124"/>
      <c r="T151" s="124"/>
      <c r="U151" s="124"/>
      <c r="V151" s="124"/>
      <c r="W151" s="124"/>
      <c r="X151" s="124"/>
      <c r="Y151" s="124"/>
      <c r="Z151" s="124"/>
      <c r="AA151" s="124"/>
      <c r="AB151" s="124"/>
      <c r="AC151" s="124"/>
      <c r="AD151" s="124"/>
      <c r="AE151" s="54"/>
    </row>
    <row r="152" spans="2:31" x14ac:dyDescent="0.2">
      <c r="B152" s="124"/>
      <c r="C152" s="124"/>
      <c r="D152" s="124"/>
      <c r="E152" s="124"/>
      <c r="F152" s="124"/>
      <c r="G152" s="124"/>
      <c r="H152" s="124"/>
      <c r="I152" s="178"/>
      <c r="J152" s="8"/>
      <c r="K152" s="8">
        <v>95</v>
      </c>
      <c r="L152" s="8">
        <f t="shared" si="35"/>
        <v>2.2199999999999998E-3</v>
      </c>
      <c r="M152" s="8">
        <f t="shared" si="33"/>
        <v>1.0711711711711713</v>
      </c>
      <c r="N152" s="9">
        <f t="shared" si="34"/>
        <v>0.93355761143818317</v>
      </c>
      <c r="O152" s="8"/>
      <c r="P152" s="13"/>
      <c r="Q152" s="124"/>
      <c r="R152" s="124"/>
      <c r="S152" s="124"/>
      <c r="T152" s="124"/>
      <c r="U152" s="124"/>
      <c r="V152" s="124"/>
      <c r="W152" s="124"/>
      <c r="X152" s="124"/>
      <c r="Y152" s="124"/>
      <c r="Z152" s="124"/>
      <c r="AA152" s="124"/>
      <c r="AB152" s="124"/>
      <c r="AC152" s="124"/>
      <c r="AD152" s="124"/>
      <c r="AE152" s="54"/>
    </row>
    <row r="153" spans="2:31" x14ac:dyDescent="0.2">
      <c r="B153" s="124"/>
      <c r="C153" s="124"/>
      <c r="D153" s="124"/>
      <c r="E153" s="124"/>
      <c r="F153" s="124"/>
      <c r="G153" s="124"/>
      <c r="H153" s="124"/>
      <c r="I153" s="178"/>
      <c r="J153" s="8"/>
      <c r="K153" s="8">
        <v>100</v>
      </c>
      <c r="L153" s="8">
        <v>2.2100000000000002E-3</v>
      </c>
      <c r="M153" s="8">
        <f t="shared" si="33"/>
        <v>1.0760180995475113</v>
      </c>
      <c r="N153" s="9">
        <f t="shared" si="34"/>
        <v>0.92935239697224559</v>
      </c>
      <c r="O153" s="8"/>
      <c r="P153" s="13"/>
      <c r="Q153" s="124"/>
      <c r="R153" s="124"/>
      <c r="S153" s="124"/>
      <c r="T153" s="124"/>
      <c r="U153" s="124"/>
      <c r="V153" s="124"/>
      <c r="W153" s="124"/>
      <c r="X153" s="124"/>
      <c r="Y153" s="124"/>
      <c r="Z153" s="124"/>
      <c r="AA153" s="124"/>
      <c r="AB153" s="124"/>
      <c r="AC153" s="124"/>
      <c r="AD153" s="124"/>
      <c r="AE153" s="54"/>
    </row>
    <row r="154" spans="2:31" ht="13.5" thickBot="1" x14ac:dyDescent="0.25">
      <c r="B154" s="124"/>
      <c r="C154" s="124"/>
      <c r="D154" s="124"/>
      <c r="E154" s="124"/>
      <c r="F154" s="124"/>
      <c r="G154" s="124"/>
      <c r="H154" s="124"/>
      <c r="I154" s="179"/>
      <c r="J154" s="168"/>
      <c r="K154" s="168"/>
      <c r="L154" s="168"/>
      <c r="M154" s="168"/>
      <c r="N154" s="169"/>
      <c r="O154" s="250"/>
      <c r="P154" s="13"/>
      <c r="Q154" s="124"/>
      <c r="R154" s="124"/>
      <c r="S154" s="124"/>
      <c r="T154" s="124"/>
      <c r="U154" s="124"/>
      <c r="V154" s="124"/>
      <c r="W154" s="124"/>
      <c r="X154" s="124"/>
      <c r="Y154" s="124"/>
      <c r="Z154" s="124"/>
      <c r="AA154" s="124"/>
      <c r="AB154" s="124"/>
      <c r="AC154" s="124"/>
      <c r="AD154" s="124"/>
      <c r="AE154" s="54"/>
    </row>
    <row r="155" spans="2:31" x14ac:dyDescent="0.2">
      <c r="B155" s="124"/>
      <c r="C155" s="124"/>
      <c r="D155" s="124"/>
      <c r="E155" s="124"/>
      <c r="F155" s="124"/>
      <c r="G155" s="124"/>
      <c r="H155" s="124"/>
      <c r="I155" s="138"/>
      <c r="J155" s="124"/>
      <c r="K155" s="124"/>
      <c r="L155" s="124"/>
      <c r="M155" s="124"/>
      <c r="N155" s="123"/>
      <c r="O155" s="123"/>
      <c r="P155" s="123"/>
      <c r="Q155" s="124"/>
      <c r="R155" s="124"/>
      <c r="S155" s="124"/>
      <c r="T155" s="124"/>
      <c r="U155" s="124"/>
      <c r="V155" s="124"/>
      <c r="W155" s="124"/>
      <c r="X155" s="124"/>
      <c r="Y155" s="124"/>
      <c r="Z155" s="124"/>
      <c r="AA155" s="124"/>
      <c r="AB155" s="124"/>
      <c r="AC155" s="124"/>
      <c r="AD155" s="124"/>
      <c r="AE155" s="54"/>
    </row>
    <row r="156" spans="2:31" x14ac:dyDescent="0.2">
      <c r="B156" s="124"/>
      <c r="C156" s="124"/>
      <c r="D156" s="124"/>
      <c r="E156" s="124"/>
      <c r="F156" s="124"/>
      <c r="G156" s="124"/>
      <c r="H156" s="124"/>
      <c r="I156" s="138"/>
      <c r="J156" s="124"/>
      <c r="K156" s="124"/>
      <c r="L156" s="124"/>
      <c r="M156" s="124"/>
      <c r="N156" s="123"/>
      <c r="O156" s="123"/>
      <c r="P156" s="123"/>
      <c r="Q156" s="124"/>
      <c r="R156" s="124"/>
      <c r="S156" s="124"/>
      <c r="T156" s="124"/>
      <c r="U156" s="124"/>
      <c r="V156" s="124"/>
      <c r="W156" s="124"/>
      <c r="X156" s="124"/>
      <c r="Y156" s="124"/>
      <c r="Z156" s="124"/>
      <c r="AA156" s="124"/>
      <c r="AB156" s="124"/>
      <c r="AC156" s="124"/>
      <c r="AD156" s="124"/>
      <c r="AE156" s="54"/>
    </row>
    <row r="157" spans="2:31" x14ac:dyDescent="0.2">
      <c r="B157" s="124"/>
      <c r="C157" s="124"/>
      <c r="D157" s="124"/>
      <c r="E157" s="124"/>
      <c r="F157" s="124"/>
      <c r="G157" s="124"/>
      <c r="H157" s="124"/>
      <c r="I157" s="138"/>
      <c r="J157" s="124"/>
      <c r="K157" s="124"/>
      <c r="L157" s="124"/>
      <c r="M157" s="124"/>
      <c r="N157" s="123"/>
      <c r="O157" s="123"/>
      <c r="P157" s="123"/>
      <c r="Q157" s="124"/>
      <c r="R157" s="124"/>
      <c r="S157" s="124"/>
      <c r="T157" s="124"/>
      <c r="U157" s="124"/>
      <c r="V157" s="124"/>
      <c r="W157" s="124"/>
      <c r="X157" s="124"/>
      <c r="Y157" s="124"/>
      <c r="Z157" s="124"/>
      <c r="AA157" s="124"/>
      <c r="AB157" s="124"/>
      <c r="AC157" s="124"/>
      <c r="AD157" s="124"/>
      <c r="AE157" s="54"/>
    </row>
    <row r="158" spans="2:31" x14ac:dyDescent="0.2">
      <c r="B158" s="124"/>
      <c r="C158" s="124"/>
      <c r="D158" s="124"/>
      <c r="E158" s="124"/>
      <c r="F158" s="124"/>
      <c r="G158" s="124"/>
      <c r="H158" s="124"/>
      <c r="I158" s="138"/>
      <c r="J158" s="124"/>
      <c r="K158" s="124"/>
      <c r="L158" s="124"/>
      <c r="M158" s="124"/>
      <c r="N158" s="123"/>
      <c r="O158" s="123"/>
      <c r="P158" s="123"/>
      <c r="Q158" s="124"/>
      <c r="R158" s="124"/>
      <c r="S158" s="124"/>
      <c r="T158" s="124"/>
      <c r="U158" s="124"/>
      <c r="V158" s="124"/>
      <c r="W158" s="124"/>
      <c r="X158" s="124"/>
      <c r="Y158" s="124"/>
      <c r="Z158" s="124"/>
      <c r="AA158" s="124"/>
      <c r="AB158" s="124"/>
      <c r="AC158" s="124"/>
      <c r="AD158" s="124"/>
      <c r="AE158" s="54"/>
    </row>
    <row r="159" spans="2:31" x14ac:dyDescent="0.2">
      <c r="B159" s="124"/>
      <c r="C159" s="124"/>
      <c r="D159" s="124"/>
      <c r="E159" s="124"/>
      <c r="F159" s="124"/>
      <c r="G159" s="124"/>
      <c r="H159" s="124"/>
      <c r="I159" s="138"/>
      <c r="J159" s="124"/>
      <c r="K159" s="124"/>
      <c r="L159" s="124"/>
      <c r="M159" s="124"/>
      <c r="N159" s="123"/>
      <c r="O159" s="123"/>
      <c r="P159" s="123"/>
      <c r="Q159" s="124"/>
      <c r="R159" s="124"/>
      <c r="S159" s="124"/>
      <c r="T159" s="124"/>
      <c r="U159" s="124"/>
      <c r="V159" s="124"/>
      <c r="W159" s="124"/>
      <c r="X159" s="124"/>
      <c r="Y159" s="124"/>
      <c r="Z159" s="124"/>
      <c r="AA159" s="124"/>
      <c r="AB159" s="124"/>
      <c r="AC159" s="124"/>
      <c r="AD159" s="124"/>
      <c r="AE159" s="54"/>
    </row>
    <row r="160" spans="2:31" x14ac:dyDescent="0.2">
      <c r="B160" s="124"/>
      <c r="C160" s="124"/>
      <c r="D160" s="124"/>
      <c r="E160" s="124"/>
      <c r="F160" s="124"/>
      <c r="G160" s="124"/>
      <c r="H160" s="124"/>
      <c r="I160" s="138"/>
      <c r="J160" s="124"/>
      <c r="K160" s="124"/>
      <c r="L160" s="124"/>
      <c r="M160" s="124"/>
      <c r="N160" s="123"/>
      <c r="O160" s="123"/>
      <c r="P160" s="123"/>
      <c r="Q160" s="124"/>
      <c r="R160" s="124"/>
      <c r="S160" s="124"/>
      <c r="T160" s="124"/>
      <c r="U160" s="124"/>
      <c r="V160" s="124"/>
      <c r="W160" s="124"/>
      <c r="X160" s="124"/>
      <c r="Y160" s="124"/>
      <c r="Z160" s="124"/>
      <c r="AA160" s="124"/>
      <c r="AB160" s="124"/>
      <c r="AC160" s="124"/>
      <c r="AD160" s="124"/>
      <c r="AE160" s="54"/>
    </row>
    <row r="161" spans="2:31" x14ac:dyDescent="0.2">
      <c r="B161" s="124"/>
      <c r="C161" s="124"/>
      <c r="D161" s="124"/>
      <c r="E161" s="124"/>
      <c r="F161" s="124"/>
      <c r="G161" s="124"/>
      <c r="H161" s="124"/>
      <c r="I161" s="138"/>
      <c r="J161" s="124"/>
      <c r="K161" s="124"/>
      <c r="L161" s="124"/>
      <c r="M161" s="124"/>
      <c r="N161" s="123"/>
      <c r="O161" s="123"/>
      <c r="P161" s="123"/>
      <c r="Q161" s="124"/>
      <c r="R161" s="124"/>
      <c r="S161" s="124"/>
      <c r="T161" s="124"/>
      <c r="U161" s="124"/>
      <c r="V161" s="124"/>
      <c r="W161" s="124"/>
      <c r="X161" s="124"/>
      <c r="Y161" s="124"/>
      <c r="Z161" s="124"/>
      <c r="AA161" s="124"/>
      <c r="AB161" s="124"/>
      <c r="AC161" s="124"/>
      <c r="AD161" s="124"/>
      <c r="AE161" s="54"/>
    </row>
    <row r="162" spans="2:31" x14ac:dyDescent="0.2">
      <c r="B162" s="124"/>
      <c r="C162" s="124"/>
      <c r="D162" s="124"/>
      <c r="E162" s="124"/>
      <c r="F162" s="124"/>
      <c r="G162" s="124"/>
      <c r="H162" s="124"/>
      <c r="I162" s="138"/>
      <c r="J162" s="124"/>
      <c r="K162" s="124"/>
      <c r="L162" s="124"/>
      <c r="M162" s="124"/>
      <c r="N162" s="123"/>
      <c r="O162" s="123"/>
      <c r="P162" s="123"/>
      <c r="Q162" s="124"/>
      <c r="R162" s="124"/>
      <c r="S162" s="124"/>
      <c r="T162" s="124"/>
      <c r="U162" s="124"/>
      <c r="V162" s="124"/>
      <c r="W162" s="124"/>
      <c r="X162" s="124"/>
      <c r="Y162" s="124"/>
      <c r="Z162" s="124"/>
      <c r="AA162" s="124"/>
      <c r="AB162" s="124"/>
      <c r="AC162" s="124"/>
      <c r="AD162" s="124"/>
      <c r="AE162" s="54"/>
    </row>
    <row r="163" spans="2:31" x14ac:dyDescent="0.2">
      <c r="B163" s="124"/>
      <c r="C163" s="124"/>
      <c r="D163" s="124"/>
      <c r="E163" s="124"/>
      <c r="F163" s="124"/>
      <c r="G163" s="124"/>
      <c r="H163" s="124"/>
      <c r="I163" s="138"/>
      <c r="J163" s="124"/>
      <c r="K163" s="124"/>
      <c r="L163" s="124"/>
      <c r="M163" s="124"/>
      <c r="N163" s="123"/>
      <c r="O163" s="123"/>
      <c r="P163" s="123"/>
      <c r="Q163" s="124"/>
      <c r="R163" s="124"/>
      <c r="S163" s="124"/>
      <c r="T163" s="124"/>
      <c r="U163" s="124"/>
      <c r="V163" s="124"/>
      <c r="W163" s="124"/>
      <c r="X163" s="124"/>
      <c r="Y163" s="124"/>
      <c r="Z163" s="124"/>
      <c r="AA163" s="124"/>
      <c r="AB163" s="124"/>
      <c r="AC163" s="124"/>
      <c r="AD163" s="124"/>
      <c r="AE163" s="54"/>
    </row>
    <row r="164" spans="2:31" x14ac:dyDescent="0.2">
      <c r="B164" s="124"/>
      <c r="C164" s="124"/>
      <c r="D164" s="124"/>
      <c r="E164" s="124"/>
      <c r="F164" s="124"/>
      <c r="G164" s="124"/>
      <c r="H164" s="124"/>
      <c r="I164" s="138"/>
      <c r="J164" s="124"/>
      <c r="K164" s="124"/>
      <c r="L164" s="124"/>
      <c r="M164" s="124"/>
      <c r="N164" s="123"/>
      <c r="O164" s="123"/>
      <c r="P164" s="123"/>
      <c r="Q164" s="124"/>
      <c r="R164" s="124"/>
      <c r="S164" s="124"/>
      <c r="T164" s="124"/>
      <c r="U164" s="124"/>
      <c r="V164" s="124"/>
      <c r="W164" s="124"/>
      <c r="X164" s="124"/>
      <c r="Y164" s="124"/>
      <c r="Z164" s="124"/>
      <c r="AA164" s="124"/>
      <c r="AB164" s="124"/>
      <c r="AC164" s="124"/>
      <c r="AD164" s="124"/>
      <c r="AE164" s="54"/>
    </row>
    <row r="165" spans="2:31" x14ac:dyDescent="0.2">
      <c r="B165" s="124"/>
      <c r="C165" s="124"/>
      <c r="D165" s="124"/>
      <c r="E165" s="124"/>
      <c r="F165" s="124"/>
      <c r="G165" s="124"/>
      <c r="H165" s="124"/>
      <c r="I165" s="138"/>
      <c r="J165" s="124"/>
      <c r="K165" s="124"/>
      <c r="L165" s="124"/>
      <c r="M165" s="124"/>
      <c r="N165" s="123"/>
      <c r="O165" s="123"/>
      <c r="P165" s="123"/>
      <c r="Q165" s="54"/>
      <c r="R165" s="54"/>
      <c r="S165" s="54"/>
      <c r="T165" s="54"/>
      <c r="U165" s="54"/>
      <c r="V165" s="54"/>
      <c r="W165" s="54"/>
      <c r="X165" s="54"/>
      <c r="Y165" s="54"/>
      <c r="Z165" s="54"/>
      <c r="AA165" s="54"/>
      <c r="AB165" s="54"/>
      <c r="AC165" s="54"/>
      <c r="AD165" s="54"/>
      <c r="AE165" s="54"/>
    </row>
    <row r="166" spans="2:31" x14ac:dyDescent="0.2">
      <c r="B166" s="54"/>
      <c r="C166" s="54"/>
      <c r="D166" s="54"/>
      <c r="E166" s="54"/>
      <c r="F166" s="54"/>
      <c r="G166" s="54"/>
      <c r="H166" s="54"/>
      <c r="I166" s="121"/>
      <c r="J166" s="54"/>
      <c r="K166" s="54"/>
      <c r="L166" s="54"/>
      <c r="M166" s="54"/>
      <c r="N166" s="12"/>
      <c r="O166" s="12"/>
      <c r="P166" s="12"/>
      <c r="Q166" s="54"/>
      <c r="R166" s="54"/>
      <c r="S166" s="54"/>
      <c r="T166" s="54"/>
      <c r="U166" s="54"/>
      <c r="V166" s="54"/>
      <c r="W166" s="54"/>
      <c r="X166" s="54"/>
      <c r="Y166" s="54"/>
      <c r="Z166" s="54"/>
      <c r="AA166" s="54"/>
      <c r="AB166" s="54"/>
      <c r="AC166" s="54"/>
      <c r="AD166" s="54"/>
      <c r="AE166" s="54"/>
    </row>
    <row r="167" spans="2:31" x14ac:dyDescent="0.2">
      <c r="B167" s="54"/>
      <c r="C167" s="54"/>
      <c r="D167" s="54"/>
      <c r="E167" s="54"/>
      <c r="F167" s="54"/>
      <c r="G167" s="54"/>
      <c r="H167" s="54"/>
      <c r="I167" s="121"/>
      <c r="J167" s="54"/>
      <c r="K167" s="54"/>
      <c r="L167" s="54"/>
      <c r="M167" s="54"/>
      <c r="N167" s="12"/>
      <c r="O167" s="12"/>
      <c r="P167" s="12"/>
      <c r="Q167" s="54"/>
      <c r="R167" s="54"/>
      <c r="S167" s="54"/>
      <c r="T167" s="54"/>
      <c r="U167" s="54"/>
      <c r="V167" s="54"/>
      <c r="W167" s="54"/>
      <c r="X167" s="54"/>
      <c r="Y167" s="54"/>
      <c r="Z167" s="54"/>
      <c r="AA167" s="54"/>
      <c r="AB167" s="54"/>
      <c r="AC167" s="54"/>
      <c r="AD167" s="54"/>
      <c r="AE167" s="54"/>
    </row>
  </sheetData>
  <sheetProtection password="9F83" sheet="1" objects="1" scenarios="1"/>
  <mergeCells count="55">
    <mergeCell ref="R116:S119"/>
    <mergeCell ref="D8:I8"/>
    <mergeCell ref="D6:I6"/>
    <mergeCell ref="N90:P90"/>
    <mergeCell ref="N91:P91"/>
    <mergeCell ref="D9:I9"/>
    <mergeCell ref="D10:I10"/>
    <mergeCell ref="D11:I11"/>
    <mergeCell ref="D12:I12"/>
    <mergeCell ref="D25:E25"/>
    <mergeCell ref="C1:K1"/>
    <mergeCell ref="N114:P114"/>
    <mergeCell ref="N110:P110"/>
    <mergeCell ref="N111:P111"/>
    <mergeCell ref="N106:P106"/>
    <mergeCell ref="N108:P108"/>
    <mergeCell ref="N109:P109"/>
    <mergeCell ref="N112:P112"/>
    <mergeCell ref="N113:P113"/>
    <mergeCell ref="C2:K2"/>
    <mergeCell ref="N94:P94"/>
    <mergeCell ref="P2:R2"/>
    <mergeCell ref="D7:I7"/>
    <mergeCell ref="D3:J3"/>
    <mergeCell ref="R6:R7"/>
    <mergeCell ref="N6:N7"/>
    <mergeCell ref="I129:J129"/>
    <mergeCell ref="I128:J128"/>
    <mergeCell ref="N101:P101"/>
    <mergeCell ref="N98:P98"/>
    <mergeCell ref="N103:P103"/>
    <mergeCell ref="N104:P104"/>
    <mergeCell ref="N107:P107"/>
    <mergeCell ref="N105:P105"/>
    <mergeCell ref="N100:P100"/>
    <mergeCell ref="N102:P102"/>
    <mergeCell ref="C4:J4"/>
    <mergeCell ref="S6:S7"/>
    <mergeCell ref="N96:P96"/>
    <mergeCell ref="N99:P99"/>
    <mergeCell ref="R75:S75"/>
    <mergeCell ref="G94:I94"/>
    <mergeCell ref="D24:E24"/>
    <mergeCell ref="D26:E26"/>
    <mergeCell ref="D27:E27"/>
    <mergeCell ref="A78:A79"/>
    <mergeCell ref="G92:I92"/>
    <mergeCell ref="N97:P97"/>
    <mergeCell ref="G95:I95"/>
    <mergeCell ref="N95:P95"/>
    <mergeCell ref="N92:P92"/>
    <mergeCell ref="N93:P93"/>
    <mergeCell ref="G93:I93"/>
    <mergeCell ref="G90:I90"/>
    <mergeCell ref="G91:I91"/>
  </mergeCells>
  <phoneticPr fontId="91" type="noConversion"/>
  <pageMargins left="0.47" right="0.5" top="1" bottom="1" header="0.5" footer="0.5"/>
  <pageSetup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1"/>
  <sheetViews>
    <sheetView tabSelected="1" zoomScale="75" workbookViewId="0">
      <selection activeCell="A6" sqref="A6"/>
    </sheetView>
  </sheetViews>
  <sheetFormatPr defaultRowHeight="12.75" x14ac:dyDescent="0.2"/>
  <cols>
    <col min="1" max="1" width="20.7109375" customWidth="1"/>
    <col min="2" max="2" width="22.28515625" customWidth="1"/>
    <col min="3" max="3" width="21" customWidth="1"/>
    <col min="4" max="4" width="18.5703125" customWidth="1"/>
    <col min="5" max="5" width="14.5703125" customWidth="1"/>
    <col min="6" max="6" width="16" customWidth="1"/>
    <col min="7" max="7" width="23.7109375" customWidth="1"/>
    <col min="8" max="8" width="25" customWidth="1"/>
    <col min="9" max="9" width="17" customWidth="1"/>
    <col min="10" max="10" width="18.28515625" customWidth="1"/>
    <col min="11" max="11" width="11.5703125" customWidth="1"/>
    <col min="12" max="12" width="12.7109375" customWidth="1"/>
    <col min="13" max="13" width="12.7109375" hidden="1" customWidth="1"/>
    <col min="14" max="14" width="14" hidden="1" customWidth="1"/>
    <col min="15" max="15" width="14.5703125" hidden="1" customWidth="1"/>
    <col min="16" max="16" width="18.7109375" hidden="1" customWidth="1"/>
    <col min="17" max="17" width="21.7109375" hidden="1" customWidth="1"/>
    <col min="18" max="18" width="16" hidden="1" customWidth="1"/>
    <col min="19" max="19" width="24.7109375" hidden="1" customWidth="1"/>
  </cols>
  <sheetData>
    <row r="1" spans="1:19" ht="13.5" thickBot="1" x14ac:dyDescent="0.25">
      <c r="A1" s="123" t="s">
        <v>1</v>
      </c>
      <c r="B1" s="123" t="s">
        <v>195</v>
      </c>
      <c r="C1" s="498" t="s">
        <v>274</v>
      </c>
      <c r="D1" s="652" t="s">
        <v>181</v>
      </c>
      <c r="E1" s="498"/>
      <c r="F1" s="503" t="s">
        <v>182</v>
      </c>
      <c r="G1" s="498" t="s">
        <v>356</v>
      </c>
      <c r="H1" s="498">
        <f>'Rotor HP'!$B$89</f>
        <v>7.1046079999999998E-2</v>
      </c>
      <c r="I1" s="498" t="s">
        <v>183</v>
      </c>
      <c r="J1" s="498" t="s">
        <v>196</v>
      </c>
      <c r="K1" s="498" t="s">
        <v>197</v>
      </c>
    </row>
    <row r="2" spans="1:19" ht="13.5" thickTop="1" x14ac:dyDescent="0.2">
      <c r="A2" s="459" t="s">
        <v>225</v>
      </c>
      <c r="B2" s="460">
        <f>'Power and Cooling'!$E$35</f>
        <v>90</v>
      </c>
      <c r="C2" s="498">
        <v>0.3</v>
      </c>
      <c r="D2" s="652"/>
      <c r="E2" s="503" t="s">
        <v>184</v>
      </c>
      <c r="F2" s="503" t="s">
        <v>185</v>
      </c>
      <c r="G2" s="503" t="s">
        <v>146</v>
      </c>
      <c r="H2" s="503" t="s">
        <v>212</v>
      </c>
      <c r="I2" s="503" t="s">
        <v>280</v>
      </c>
      <c r="J2" s="562">
        <v>0.25</v>
      </c>
      <c r="K2" s="562">
        <v>1</v>
      </c>
    </row>
    <row r="3" spans="1:19" x14ac:dyDescent="0.2">
      <c r="A3" s="462" t="s">
        <v>199</v>
      </c>
      <c r="B3" s="464">
        <f>'Power and Cooling'!$E$37</f>
        <v>6800</v>
      </c>
      <c r="C3" s="123" t="s">
        <v>207</v>
      </c>
      <c r="D3" s="123">
        <f>B2*C2</f>
        <v>27</v>
      </c>
      <c r="E3" s="321">
        <f>D3*5280/(60*60)</f>
        <v>39.6</v>
      </c>
      <c r="F3" s="322">
        <f>I6*(F6*F7)</f>
        <v>456</v>
      </c>
      <c r="G3" s="321">
        <f>F3/144</f>
        <v>3.1666666666666665</v>
      </c>
      <c r="H3" s="321">
        <f>E3*G3</f>
        <v>125.4</v>
      </c>
      <c r="I3" s="321">
        <f>H3*$H$1*60</f>
        <v>534.55070592000004</v>
      </c>
      <c r="J3" s="123" t="s">
        <v>1</v>
      </c>
      <c r="K3" s="123"/>
    </row>
    <row r="4" spans="1:19" ht="13.5" thickBot="1" x14ac:dyDescent="0.25">
      <c r="A4" s="463" t="s">
        <v>152</v>
      </c>
      <c r="B4" s="465">
        <f>'Power and Cooling'!$E$36</f>
        <v>500</v>
      </c>
      <c r="C4" s="123" t="s">
        <v>208</v>
      </c>
      <c r="D4" s="123"/>
      <c r="E4" s="321">
        <f>E3</f>
        <v>39.6</v>
      </c>
      <c r="F4" s="322">
        <f>I7*(F9*F10)</f>
        <v>99</v>
      </c>
      <c r="G4" s="321">
        <f>F4/144</f>
        <v>0.6875</v>
      </c>
      <c r="H4" s="321">
        <f>E4*G4</f>
        <v>27.225000000000001</v>
      </c>
      <c r="I4" s="321">
        <f>H4*$H$1*60</f>
        <v>116.05377168000001</v>
      </c>
      <c r="J4" s="321" t="s">
        <v>1</v>
      </c>
      <c r="K4" s="123"/>
    </row>
    <row r="5" spans="1:19" ht="14.25" thickTop="1" thickBot="1" x14ac:dyDescent="0.25">
      <c r="A5" s="437"/>
      <c r="B5" s="499"/>
      <c r="C5" s="123"/>
      <c r="D5" s="123"/>
      <c r="E5" s="321"/>
      <c r="F5" s="322"/>
      <c r="G5" s="504" t="s">
        <v>112</v>
      </c>
      <c r="H5" s="321"/>
      <c r="I5" s="123"/>
      <c r="J5" s="500" t="s">
        <v>112</v>
      </c>
      <c r="K5" s="123"/>
    </row>
    <row r="6" spans="1:19" ht="17.25" thickTop="1" thickBot="1" x14ac:dyDescent="0.3">
      <c r="A6" t="s">
        <v>1</v>
      </c>
      <c r="B6" s="501" t="s">
        <v>359</v>
      </c>
      <c r="C6" s="501"/>
      <c r="D6" s="495" t="s">
        <v>182</v>
      </c>
      <c r="E6" s="466" t="s">
        <v>251</v>
      </c>
      <c r="F6" s="467">
        <v>19</v>
      </c>
      <c r="G6" s="503">
        <v>9</v>
      </c>
      <c r="H6" s="472" t="s">
        <v>252</v>
      </c>
      <c r="I6" s="471">
        <v>1</v>
      </c>
      <c r="J6" s="503">
        <v>2</v>
      </c>
    </row>
    <row r="7" spans="1:19" ht="17.25" thickTop="1" thickBot="1" x14ac:dyDescent="0.3">
      <c r="B7" s="502" t="s">
        <v>360</v>
      </c>
      <c r="C7" s="501"/>
      <c r="D7" s="496"/>
      <c r="E7" s="466" t="s">
        <v>253</v>
      </c>
      <c r="F7" s="468">
        <v>24</v>
      </c>
      <c r="G7" s="503">
        <v>10</v>
      </c>
      <c r="H7" s="472" t="s">
        <v>254</v>
      </c>
      <c r="I7" s="471">
        <v>1</v>
      </c>
      <c r="J7" s="503">
        <v>1</v>
      </c>
    </row>
    <row r="8" spans="1:19" ht="17.25" thickTop="1" thickBot="1" x14ac:dyDescent="0.3">
      <c r="B8" s="502" t="s">
        <v>361</v>
      </c>
      <c r="C8" s="501"/>
      <c r="D8" s="497" t="s">
        <v>277</v>
      </c>
      <c r="E8" s="469" t="s">
        <v>276</v>
      </c>
      <c r="F8" s="467">
        <v>80</v>
      </c>
      <c r="G8" s="503">
        <v>50</v>
      </c>
    </row>
    <row r="9" spans="1:19" ht="17.25" thickTop="1" thickBot="1" x14ac:dyDescent="0.3">
      <c r="B9" s="502"/>
      <c r="C9" s="501"/>
      <c r="D9" s="495" t="s">
        <v>275</v>
      </c>
      <c r="E9" s="466" t="s">
        <v>251</v>
      </c>
      <c r="F9" s="468">
        <v>9</v>
      </c>
      <c r="G9" s="503">
        <v>19</v>
      </c>
    </row>
    <row r="10" spans="1:19" ht="17.25" thickTop="1" thickBot="1" x14ac:dyDescent="0.3">
      <c r="D10" s="496"/>
      <c r="E10" s="469" t="s">
        <v>253</v>
      </c>
      <c r="F10" s="468">
        <v>11</v>
      </c>
      <c r="G10" s="504">
        <v>4.5</v>
      </c>
      <c r="H10" s="249"/>
      <c r="I10" s="249"/>
      <c r="K10" t="s">
        <v>1</v>
      </c>
    </row>
    <row r="11" spans="1:19" ht="17.25" thickTop="1" thickBot="1" x14ac:dyDescent="0.3">
      <c r="D11" s="496" t="s">
        <v>278</v>
      </c>
      <c r="E11" s="466" t="s">
        <v>279</v>
      </c>
      <c r="F11" s="467">
        <v>50</v>
      </c>
      <c r="G11" s="505">
        <v>50</v>
      </c>
      <c r="H11" s="249"/>
      <c r="I11" s="249"/>
    </row>
    <row r="12" spans="1:19" ht="13.5" thickTop="1" x14ac:dyDescent="0.2">
      <c r="D12" s="470"/>
      <c r="E12" s="654" t="s">
        <v>378</v>
      </c>
      <c r="F12" s="655"/>
      <c r="G12" s="656"/>
      <c r="H12" s="321"/>
      <c r="I12" s="249"/>
    </row>
    <row r="13" spans="1:19" ht="13.5" thickBot="1" x14ac:dyDescent="0.25">
      <c r="B13" s="563" t="s">
        <v>375</v>
      </c>
      <c r="C13" s="492">
        <v>185.85</v>
      </c>
      <c r="D13" s="492" t="s">
        <v>1</v>
      </c>
      <c r="E13" s="655"/>
      <c r="F13" s="655"/>
      <c r="G13" s="656"/>
      <c r="H13" s="503" t="s">
        <v>112</v>
      </c>
      <c r="I13" s="249"/>
      <c r="O13" s="274"/>
      <c r="P13" s="274"/>
      <c r="Q13" s="274"/>
      <c r="R13" s="274"/>
      <c r="S13" s="249"/>
    </row>
    <row r="14" spans="1:19" ht="17.25" thickTop="1" thickBot="1" x14ac:dyDescent="0.3">
      <c r="B14" s="563" t="s">
        <v>374</v>
      </c>
      <c r="C14" s="564" t="s">
        <v>376</v>
      </c>
      <c r="D14" s="492"/>
      <c r="E14" s="474" t="s">
        <v>348</v>
      </c>
      <c r="F14" s="566">
        <f>C15</f>
        <v>43.174603174603178</v>
      </c>
      <c r="G14" s="483" t="s">
        <v>371</v>
      </c>
      <c r="H14" s="503" t="s">
        <v>377</v>
      </c>
      <c r="I14" s="249"/>
      <c r="O14" s="274"/>
      <c r="P14" s="274"/>
      <c r="Q14" s="274"/>
      <c r="R14" s="274"/>
      <c r="S14" s="249"/>
    </row>
    <row r="15" spans="1:19" ht="17.25" thickTop="1" thickBot="1" x14ac:dyDescent="0.3">
      <c r="B15" s="564">
        <f>B3*1.18</f>
        <v>8024</v>
      </c>
      <c r="C15" s="565">
        <f>B15/C13</f>
        <v>43.174603174603178</v>
      </c>
      <c r="D15" s="492" t="s">
        <v>1</v>
      </c>
      <c r="E15" s="475" t="s">
        <v>353</v>
      </c>
      <c r="F15" s="473">
        <v>16</v>
      </c>
      <c r="G15" s="498" t="s">
        <v>352</v>
      </c>
      <c r="H15" s="567">
        <v>39370</v>
      </c>
      <c r="I15" s="249"/>
      <c r="O15" s="274"/>
      <c r="P15" s="274"/>
      <c r="Q15" s="274"/>
      <c r="R15" s="274"/>
      <c r="S15" s="249"/>
    </row>
    <row r="16" spans="1:19" ht="17.25" thickTop="1" thickBot="1" x14ac:dyDescent="0.3">
      <c r="B16" t="s">
        <v>1</v>
      </c>
      <c r="D16" s="492"/>
      <c r="E16" s="474" t="s">
        <v>357</v>
      </c>
      <c r="F16" s="473">
        <v>0.7</v>
      </c>
      <c r="G16" s="483" t="s">
        <v>358</v>
      </c>
      <c r="H16" s="503">
        <v>0.7</v>
      </c>
      <c r="I16" s="249"/>
      <c r="O16" s="274"/>
      <c r="P16" s="274"/>
      <c r="Q16" s="274"/>
      <c r="R16" s="274"/>
      <c r="S16" s="249"/>
    </row>
    <row r="17" spans="1:19" ht="13.5" thickTop="1" x14ac:dyDescent="0.2">
      <c r="D17" s="492"/>
      <c r="E17" s="493"/>
      <c r="F17" s="494"/>
      <c r="G17" s="249"/>
      <c r="H17" s="249"/>
      <c r="I17" s="249"/>
      <c r="O17" s="274"/>
      <c r="P17" s="274"/>
      <c r="Q17" s="274"/>
      <c r="R17" s="274"/>
      <c r="S17" s="249"/>
    </row>
    <row r="18" spans="1:19" ht="13.5" thickBot="1" x14ac:dyDescent="0.25">
      <c r="D18" s="492"/>
      <c r="E18" s="493"/>
      <c r="F18" s="494"/>
      <c r="G18" s="249"/>
      <c r="H18" s="249"/>
      <c r="I18" s="249"/>
      <c r="O18" s="274" t="s">
        <v>1</v>
      </c>
      <c r="P18" s="274"/>
      <c r="Q18" s="274"/>
      <c r="R18" s="274"/>
      <c r="S18" s="249"/>
    </row>
    <row r="19" spans="1:19" ht="18.75" thickTop="1" x14ac:dyDescent="0.25">
      <c r="C19" s="275" t="s">
        <v>186</v>
      </c>
      <c r="D19" s="276" t="s">
        <v>187</v>
      </c>
      <c r="E19" s="277" t="s">
        <v>282</v>
      </c>
      <c r="F19" s="439" t="s">
        <v>281</v>
      </c>
      <c r="G19" s="277" t="s">
        <v>188</v>
      </c>
      <c r="H19" s="506" t="s">
        <v>362</v>
      </c>
      <c r="I19" s="477" t="s">
        <v>354</v>
      </c>
      <c r="J19" s="273" t="s">
        <v>1</v>
      </c>
      <c r="K19" t="s">
        <v>1</v>
      </c>
    </row>
    <row r="20" spans="1:19" ht="13.5" thickBot="1" x14ac:dyDescent="0.25">
      <c r="A20" s="281" t="s">
        <v>1</v>
      </c>
      <c r="C20" s="278"/>
      <c r="D20" s="653" t="s">
        <v>193</v>
      </c>
      <c r="E20" s="8">
        <f>F20*G20*(I20-H20)</f>
        <v>10691.0141184</v>
      </c>
      <c r="F20" s="279">
        <f>I3</f>
        <v>534.55070592000004</v>
      </c>
      <c r="G20" s="8">
        <f>J2</f>
        <v>0.25</v>
      </c>
      <c r="H20" s="483">
        <f>'Rotor HP'!$J$12</f>
        <v>90</v>
      </c>
      <c r="I20" s="482">
        <f>H20+F8</f>
        <v>170</v>
      </c>
    </row>
    <row r="21" spans="1:19" ht="14.25" thickTop="1" thickBot="1" x14ac:dyDescent="0.25">
      <c r="C21" s="278"/>
      <c r="D21" s="653"/>
      <c r="E21" s="481"/>
      <c r="F21" s="650" t="s">
        <v>209</v>
      </c>
      <c r="G21" s="477"/>
      <c r="H21" s="250"/>
      <c r="I21" s="280" t="s">
        <v>1</v>
      </c>
    </row>
    <row r="22" spans="1:19" ht="13.5" thickTop="1" x14ac:dyDescent="0.2">
      <c r="C22" s="278"/>
      <c r="D22" s="8"/>
      <c r="E22" s="461" t="s">
        <v>189</v>
      </c>
      <c r="F22" s="651"/>
      <c r="G22" s="482" t="s">
        <v>210</v>
      </c>
      <c r="H22" s="477" t="s">
        <v>200</v>
      </c>
      <c r="I22" s="280" t="s">
        <v>1</v>
      </c>
    </row>
    <row r="23" spans="1:19" ht="13.5" thickBot="1" x14ac:dyDescent="0.25">
      <c r="C23" s="278"/>
      <c r="D23" s="8"/>
      <c r="E23" s="463">
        <f>E20</f>
        <v>10691.0141184</v>
      </c>
      <c r="F23" s="479">
        <f>VLOOKUP(B3,M36:S49,6)</f>
        <v>5111.1981512413549</v>
      </c>
      <c r="G23" s="480" t="str">
        <f>IF(E23-F23&gt;0, "Cooling", "OverHeat")</f>
        <v>Cooling</v>
      </c>
      <c r="H23" s="478">
        <f>(E23-F23)/F23</f>
        <v>1.0916845330685288</v>
      </c>
      <c r="I23" s="280"/>
    </row>
    <row r="24" spans="1:19" ht="14.25" thickTop="1" thickBot="1" x14ac:dyDescent="0.25">
      <c r="A24" t="s">
        <v>1</v>
      </c>
      <c r="C24" s="288"/>
      <c r="D24" s="289"/>
      <c r="E24" s="289" t="s">
        <v>1</v>
      </c>
      <c r="F24" s="289"/>
      <c r="G24" s="289"/>
      <c r="H24" s="289"/>
      <c r="I24" s="290"/>
      <c r="M24" s="518"/>
      <c r="N24" s="518"/>
      <c r="O24" s="518"/>
      <c r="P24" s="518"/>
      <c r="Q24" s="518"/>
      <c r="R24" s="518"/>
      <c r="S24" s="518"/>
    </row>
    <row r="25" spans="1:19" ht="13.5" thickTop="1" x14ac:dyDescent="0.2">
      <c r="C25" s="278"/>
      <c r="D25" s="8"/>
      <c r="E25" s="8" t="s">
        <v>1</v>
      </c>
      <c r="F25" s="8"/>
      <c r="G25" s="8"/>
      <c r="H25" s="8"/>
      <c r="I25" s="280"/>
      <c r="M25" s="518"/>
      <c r="N25" s="518"/>
      <c r="O25" s="519" t="s">
        <v>75</v>
      </c>
      <c r="P25" s="520" t="s">
        <v>365</v>
      </c>
      <c r="Q25" s="518"/>
      <c r="R25" s="518"/>
      <c r="S25" s="518"/>
    </row>
    <row r="26" spans="1:19" ht="18.75" thickBot="1" x14ac:dyDescent="0.3">
      <c r="C26" s="282" t="s">
        <v>190</v>
      </c>
      <c r="D26" s="8"/>
      <c r="E26" s="8" t="s">
        <v>1</v>
      </c>
      <c r="F26" s="8"/>
      <c r="G26" s="8" t="s">
        <v>1</v>
      </c>
      <c r="I26" s="280"/>
      <c r="M26" s="518"/>
      <c r="N26" s="518"/>
      <c r="O26" s="521">
        <f>VLOOKUP(B3,M36:S49,4)</f>
        <v>166.84666412583664</v>
      </c>
      <c r="P26" s="522">
        <f>VLOOKUP(B3,M36:S49,5 )</f>
        <v>15.519832443040553</v>
      </c>
      <c r="Q26" s="523"/>
      <c r="R26" s="523"/>
      <c r="S26" s="518"/>
    </row>
    <row r="27" spans="1:19" ht="16.5" thickTop="1" x14ac:dyDescent="0.25">
      <c r="C27" s="457" t="s">
        <v>347</v>
      </c>
      <c r="F27" s="458" t="s">
        <v>191</v>
      </c>
      <c r="I27" s="280"/>
      <c r="M27" s="518"/>
      <c r="N27" s="518"/>
      <c r="O27" s="518"/>
      <c r="P27" s="518"/>
      <c r="Q27" s="518"/>
      <c r="R27" s="518"/>
      <c r="S27" s="518"/>
    </row>
    <row r="28" spans="1:19" x14ac:dyDescent="0.2">
      <c r="C28" s="278"/>
      <c r="F28" t="s">
        <v>372</v>
      </c>
      <c r="G28" t="s">
        <v>373</v>
      </c>
      <c r="I28" s="280"/>
      <c r="M28" s="518"/>
      <c r="N28" s="518"/>
      <c r="O28" s="518"/>
      <c r="P28" s="518"/>
      <c r="Q28" s="518"/>
      <c r="R28" s="518"/>
      <c r="S28" s="518"/>
    </row>
    <row r="29" spans="1:19" ht="13.5" thickBot="1" x14ac:dyDescent="0.25">
      <c r="C29" s="278"/>
      <c r="F29">
        <f>F14</f>
        <v>43.174603174603178</v>
      </c>
      <c r="G29">
        <f>F29*8.34</f>
        <v>360.0761904761905</v>
      </c>
      <c r="I29" s="280"/>
      <c r="M29" s="518"/>
      <c r="N29" s="518"/>
      <c r="O29" s="518"/>
      <c r="P29" s="518"/>
      <c r="Q29" s="518"/>
      <c r="R29" s="518"/>
      <c r="S29" s="518"/>
    </row>
    <row r="30" spans="1:19" ht="14.25" thickTop="1" thickBot="1" x14ac:dyDescent="0.25">
      <c r="C30" s="278"/>
      <c r="I30" s="280"/>
      <c r="M30" s="524" t="str">
        <f>'Rotor HP'!N3</f>
        <v>AF =</v>
      </c>
      <c r="N30" s="525">
        <f>'Rotor HP'!O3</f>
        <v>13.5</v>
      </c>
      <c r="O30" s="525"/>
      <c r="P30" s="526" t="str">
        <f>'Rotor HP'!P3</f>
        <v xml:space="preserve"> </v>
      </c>
      <c r="Q30" s="527" t="str">
        <f>'Rotor HP'!Q3</f>
        <v>Temp F =</v>
      </c>
      <c r="R30" s="528">
        <f>'Rotor HP'!R3</f>
        <v>90</v>
      </c>
      <c r="S30" s="529" t="s">
        <v>1</v>
      </c>
    </row>
    <row r="31" spans="1:19" ht="13.5" thickTop="1" x14ac:dyDescent="0.2">
      <c r="C31" s="278"/>
      <c r="D31" s="8"/>
      <c r="E31" s="458"/>
      <c r="F31" s="8"/>
      <c r="G31" s="8"/>
      <c r="I31" s="280"/>
      <c r="M31" s="530" t="str">
        <f>'Rotor HP'!N4</f>
        <v>Altitude =</v>
      </c>
      <c r="N31" s="531">
        <f>'Rotor HP'!O4</f>
        <v>500</v>
      </c>
      <c r="O31" s="531"/>
      <c r="P31" s="532" t="str">
        <f>'Rotor HP'!P4</f>
        <v xml:space="preserve"> </v>
      </c>
      <c r="Q31" s="533" t="str">
        <f>'Rotor HP'!Q4</f>
        <v>Manifold</v>
      </c>
      <c r="R31" s="561">
        <f>'Rotor HP'!R4</f>
        <v>29</v>
      </c>
      <c r="S31" s="534" t="s">
        <v>1</v>
      </c>
    </row>
    <row r="32" spans="1:19" ht="13.5" x14ac:dyDescent="0.25">
      <c r="C32" s="278"/>
      <c r="D32" s="8"/>
      <c r="E32" s="8"/>
      <c r="F32" s="8"/>
      <c r="G32" s="8"/>
      <c r="I32" s="280"/>
      <c r="M32" s="535" t="str">
        <f>'Power and Cooling'!$C$14</f>
        <v xml:space="preserve">Gear Ratio </v>
      </c>
      <c r="N32" s="536">
        <f>'Rotor HP'!O5</f>
        <v>2.85</v>
      </c>
      <c r="O32" s="536"/>
      <c r="P32" s="537" t="s">
        <v>1</v>
      </c>
      <c r="Q32" s="538" t="str">
        <f>'Rotor HP'!Q5</f>
        <v>RESULTS</v>
      </c>
      <c r="R32" s="539" t="s">
        <v>1</v>
      </c>
      <c r="S32" s="540" t="s">
        <v>1</v>
      </c>
    </row>
    <row r="33" spans="2:19" ht="15.75" customHeight="1" x14ac:dyDescent="0.25">
      <c r="B33" t="s">
        <v>1</v>
      </c>
      <c r="C33" s="278"/>
      <c r="D33" s="8"/>
      <c r="E33" s="458" t="s">
        <v>189</v>
      </c>
      <c r="F33" s="458" t="s">
        <v>284</v>
      </c>
      <c r="G33" s="458" t="s">
        <v>349</v>
      </c>
      <c r="H33" s="507" t="s">
        <v>350</v>
      </c>
      <c r="I33" s="482" t="s">
        <v>351</v>
      </c>
      <c r="M33" s="541"/>
      <c r="N33" s="542" t="s">
        <v>1</v>
      </c>
      <c r="O33" s="542"/>
      <c r="P33" s="537" t="s">
        <v>1</v>
      </c>
      <c r="Q33" s="537" t="s">
        <v>1</v>
      </c>
      <c r="R33" s="559" t="str">
        <f>'Rotor HP'!R6</f>
        <v>Radiator Cooler Heat Rejection Requirement BTU/Minute</v>
      </c>
      <c r="S33" s="540" t="str">
        <f>'Rotor HP'!S6</f>
        <v>Oil Cooler Heat Rejection Requirements BTU/Minute</v>
      </c>
    </row>
    <row r="34" spans="2:19" ht="16.5" thickBot="1" x14ac:dyDescent="0.3">
      <c r="C34" s="278"/>
      <c r="D34" s="653" t="s">
        <v>193</v>
      </c>
      <c r="E34" s="8">
        <f>F34*G34*(H34-I34)</f>
        <v>4032.8533333333335</v>
      </c>
      <c r="F34" s="515">
        <f>G29</f>
        <v>360.0761904761905</v>
      </c>
      <c r="G34" s="476">
        <f>F16</f>
        <v>0.7</v>
      </c>
      <c r="H34" s="507">
        <v>210</v>
      </c>
      <c r="I34" s="482">
        <f>H34-F15</f>
        <v>194</v>
      </c>
      <c r="M34" s="543" t="str">
        <f>'Rotor HP'!N6</f>
        <v>Engine RPM</v>
      </c>
      <c r="N34" s="544" t="str">
        <f>'Rotor HP'!O7</f>
        <v>Prop RPM</v>
      </c>
      <c r="O34" s="544"/>
      <c r="P34" s="545" t="str">
        <f>'Rotor HP'!P7</f>
        <v>Horse Power/Sec</v>
      </c>
      <c r="Q34" s="546" t="str">
        <f>'Rotor HP'!Q7</f>
        <v>Gallon/Hour</v>
      </c>
      <c r="R34" s="546"/>
      <c r="S34" s="560"/>
    </row>
    <row r="35" spans="2:19" ht="15" thickTop="1" x14ac:dyDescent="0.3">
      <c r="C35" s="278"/>
      <c r="D35" s="653"/>
      <c r="E35" s="438" t="s">
        <v>189</v>
      </c>
      <c r="F35" s="438" t="s">
        <v>211</v>
      </c>
      <c r="G35" s="484"/>
      <c r="H35" s="8"/>
      <c r="I35" s="280"/>
      <c r="M35" s="547" t="s">
        <v>1</v>
      </c>
      <c r="N35" s="548" t="s">
        <v>1</v>
      </c>
      <c r="O35" s="548"/>
      <c r="P35" s="548" t="s">
        <v>1</v>
      </c>
      <c r="Q35" s="548" t="s">
        <v>1</v>
      </c>
      <c r="R35" s="549" t="s">
        <v>194</v>
      </c>
      <c r="S35" s="550" t="s">
        <v>194</v>
      </c>
    </row>
    <row r="36" spans="2:19" ht="15" thickBot="1" x14ac:dyDescent="0.35">
      <c r="C36" s="278"/>
      <c r="D36" s="8"/>
      <c r="E36" s="485">
        <f>E34</f>
        <v>4032.8533333333335</v>
      </c>
      <c r="F36" s="486" t="str">
        <f>IF(F23&gt;E36,"Yes","No")</f>
        <v>Yes</v>
      </c>
      <c r="G36" s="487"/>
      <c r="H36" s="8"/>
      <c r="I36" s="280"/>
      <c r="M36" s="551">
        <f>'Rotor HP'!N9</f>
        <v>6800</v>
      </c>
      <c r="N36" s="552">
        <f>'Rotor HP'!O9</f>
        <v>2385.9649122807018</v>
      </c>
      <c r="O36" s="552"/>
      <c r="P36" s="552">
        <f>'Rotor HP'!P9</f>
        <v>166.84666412583664</v>
      </c>
      <c r="Q36" s="553">
        <f>'Rotor HP'!Q9</f>
        <v>15.519832443040553</v>
      </c>
      <c r="R36" s="552">
        <f>'Rotor HP'!R9</f>
        <v>5111.1981512413549</v>
      </c>
      <c r="S36" s="554">
        <f>'Rotor HP'!S9</f>
        <v>2555.5990756206775</v>
      </c>
    </row>
    <row r="37" spans="2:19" ht="15" thickTop="1" x14ac:dyDescent="0.3">
      <c r="C37" s="278"/>
      <c r="D37" s="8"/>
      <c r="E37" s="8" t="s">
        <v>1</v>
      </c>
      <c r="F37" s="517" t="s">
        <v>1</v>
      </c>
      <c r="G37" s="8"/>
      <c r="H37" s="8"/>
      <c r="I37" s="280"/>
      <c r="M37" s="551">
        <f>'Rotor HP'!N10</f>
        <v>7300</v>
      </c>
      <c r="N37" s="552">
        <f>'Rotor HP'!O10</f>
        <v>2561.4035087719299</v>
      </c>
      <c r="O37" s="552"/>
      <c r="P37" s="552">
        <f>'Rotor HP'!P10</f>
        <v>179.11480119391288</v>
      </c>
      <c r="Q37" s="553">
        <f>'Rotor HP'!Q10</f>
        <v>16.66099659326412</v>
      </c>
      <c r="R37" s="552">
        <f>'Rotor HP'!R10</f>
        <v>5487.0215447149831</v>
      </c>
      <c r="S37" s="554">
        <f>'Rotor HP'!S10</f>
        <v>2743.5107723574915</v>
      </c>
    </row>
    <row r="38" spans="2:19" ht="15" thickBot="1" x14ac:dyDescent="0.35">
      <c r="C38" s="288"/>
      <c r="D38" s="289"/>
      <c r="E38" s="289" t="s">
        <v>1</v>
      </c>
      <c r="F38" s="289"/>
      <c r="G38" s="289"/>
      <c r="H38" s="289"/>
      <c r="I38" s="290"/>
      <c r="M38" s="551">
        <f>'Rotor HP'!N11</f>
        <v>7800</v>
      </c>
      <c r="N38" s="552">
        <f>'Rotor HP'!O11</f>
        <v>2736.8421052631579</v>
      </c>
      <c r="O38" s="552"/>
      <c r="P38" s="552">
        <f>'Rotor HP'!P11</f>
        <v>191.38293826198918</v>
      </c>
      <c r="Q38" s="553">
        <f>'Rotor HP'!Q11</f>
        <v>17.802160743487693</v>
      </c>
      <c r="R38" s="552">
        <f>'Rotor HP'!R11</f>
        <v>5862.8449381886139</v>
      </c>
      <c r="S38" s="554">
        <f>'Rotor HP'!S11</f>
        <v>2931.422469094307</v>
      </c>
    </row>
    <row r="39" spans="2:19" ht="15" thickTop="1" x14ac:dyDescent="0.3">
      <c r="C39" s="278"/>
      <c r="D39" s="8"/>
      <c r="E39" s="8"/>
      <c r="F39" s="8"/>
      <c r="G39" s="8"/>
      <c r="H39" s="8"/>
      <c r="I39" s="280"/>
      <c r="M39" s="551">
        <f>'Rotor HP'!N12</f>
        <v>8300</v>
      </c>
      <c r="N39" s="552">
        <f>'Rotor HP'!O12</f>
        <v>2912.280701754386</v>
      </c>
      <c r="O39" s="552"/>
      <c r="P39" s="552">
        <f>'Rotor HP'!P12</f>
        <v>203.65107533006531</v>
      </c>
      <c r="Q39" s="553">
        <f>'Rotor HP'!Q12</f>
        <v>18.94332489371126</v>
      </c>
      <c r="R39" s="552">
        <f>'Rotor HP'!R12</f>
        <v>6238.6683316622402</v>
      </c>
      <c r="S39" s="554">
        <f>'Rotor HP'!S12</f>
        <v>3119.3341658311201</v>
      </c>
    </row>
    <row r="40" spans="2:19" ht="14.25" x14ac:dyDescent="0.3">
      <c r="C40" s="278"/>
      <c r="D40" s="8"/>
      <c r="E40" s="8"/>
      <c r="F40" s="8"/>
      <c r="G40" s="8"/>
      <c r="H40" s="8"/>
      <c r="I40" s="280"/>
      <c r="M40" s="551">
        <f>'Rotor HP'!N13</f>
        <v>8800</v>
      </c>
      <c r="N40" s="552">
        <f>'Rotor HP'!O13</f>
        <v>3087.719298245614</v>
      </c>
      <c r="O40" s="552"/>
      <c r="P40" s="552">
        <f>'Rotor HP'!P13</f>
        <v>215.91921239814155</v>
      </c>
      <c r="Q40" s="553">
        <f>'Rotor HP'!Q13</f>
        <v>20.08448904393483</v>
      </c>
      <c r="R40" s="552">
        <f>'Rotor HP'!R13</f>
        <v>6614.4917251358711</v>
      </c>
      <c r="S40" s="554">
        <f>'Rotor HP'!S13</f>
        <v>3307.2458625679355</v>
      </c>
    </row>
    <row r="41" spans="2:19" ht="18.75" x14ac:dyDescent="0.3">
      <c r="C41" s="282" t="s">
        <v>186</v>
      </c>
      <c r="D41" s="283" t="s">
        <v>192</v>
      </c>
      <c r="E41" s="8" t="s">
        <v>282</v>
      </c>
      <c r="F41" s="8" t="s">
        <v>281</v>
      </c>
      <c r="G41" s="8" t="s">
        <v>188</v>
      </c>
      <c r="H41" s="483" t="s">
        <v>355</v>
      </c>
      <c r="I41" s="482" t="s">
        <v>354</v>
      </c>
      <c r="M41" s="551">
        <f>'Rotor HP'!N14</f>
        <v>9300</v>
      </c>
      <c r="N41" s="552">
        <f>'Rotor HP'!O14</f>
        <v>3263.1578947368421</v>
      </c>
      <c r="O41" s="552"/>
      <c r="P41" s="552">
        <f>'Rotor HP'!P14</f>
        <v>228.18734946621774</v>
      </c>
      <c r="Q41" s="553">
        <f>'Rotor HP'!Q14</f>
        <v>21.225653194158401</v>
      </c>
      <c r="R41" s="552">
        <f>'Rotor HP'!R14</f>
        <v>6990.3151186094983</v>
      </c>
      <c r="S41" s="554">
        <f>'Rotor HP'!S14</f>
        <v>3495.1575593047492</v>
      </c>
    </row>
    <row r="42" spans="2:19" ht="15" thickBot="1" x14ac:dyDescent="0.35">
      <c r="C42" s="278"/>
      <c r="D42" s="8"/>
      <c r="E42" s="8">
        <f>F42*G42*(I42-H42)</f>
        <v>1450.6721460000001</v>
      </c>
      <c r="F42" s="279">
        <f>I4</f>
        <v>116.05377168000001</v>
      </c>
      <c r="G42" s="8">
        <f>J2</f>
        <v>0.25</v>
      </c>
      <c r="H42" s="483">
        <f>'Rotor HP'!$J$12</f>
        <v>90</v>
      </c>
      <c r="I42" s="482">
        <f>H42+F11</f>
        <v>140</v>
      </c>
      <c r="M42" s="551">
        <f>'Rotor HP'!N15</f>
        <v>9800</v>
      </c>
      <c r="N42" s="552">
        <f>'Rotor HP'!O15</f>
        <v>3438.5964912280701</v>
      </c>
      <c r="O42" s="552"/>
      <c r="P42" s="552">
        <f>'Rotor HP'!P15</f>
        <v>240.45548653429401</v>
      </c>
      <c r="Q42" s="553">
        <f>'Rotor HP'!Q15</f>
        <v>22.366817344381975</v>
      </c>
      <c r="R42" s="552">
        <f>'Rotor HP'!R15</f>
        <v>7366.1385120831292</v>
      </c>
      <c r="S42" s="554">
        <f>'Rotor HP'!S15</f>
        <v>3683.0692560415646</v>
      </c>
    </row>
    <row r="43" spans="2:19" ht="15.75" thickTop="1" thickBot="1" x14ac:dyDescent="0.35">
      <c r="C43" s="278"/>
      <c r="D43" s="8"/>
      <c r="E43" s="481"/>
      <c r="F43" s="650" t="s">
        <v>209</v>
      </c>
      <c r="G43" s="477"/>
      <c r="I43" s="280" t="s">
        <v>1</v>
      </c>
      <c r="M43" s="551">
        <f>'Rotor HP'!N16</f>
        <v>10300</v>
      </c>
      <c r="N43" s="552">
        <f>'Rotor HP'!O16</f>
        <v>3614.0350877192982</v>
      </c>
      <c r="O43" s="552"/>
      <c r="P43" s="552">
        <f>'Rotor HP'!P16</f>
        <v>252.72362360237034</v>
      </c>
      <c r="Q43" s="553">
        <f>'Rotor HP'!Q16</f>
        <v>23.507981494605541</v>
      </c>
      <c r="R43" s="552">
        <f>'Rotor HP'!R16</f>
        <v>7741.9619055567609</v>
      </c>
      <c r="S43" s="554">
        <f>'Rotor HP'!S16</f>
        <v>3870.9809527783805</v>
      </c>
    </row>
    <row r="44" spans="2:19" ht="15" thickTop="1" x14ac:dyDescent="0.3">
      <c r="B44" s="249" t="s">
        <v>1</v>
      </c>
      <c r="C44" s="278"/>
      <c r="D44" s="8"/>
      <c r="E44" s="461" t="s">
        <v>189</v>
      </c>
      <c r="F44" s="651"/>
      <c r="G44" s="482" t="s">
        <v>210</v>
      </c>
      <c r="H44" s="477" t="s">
        <v>200</v>
      </c>
      <c r="I44" s="280" t="s">
        <v>1</v>
      </c>
      <c r="M44" s="551">
        <f>'Rotor HP'!N17</f>
        <v>10800</v>
      </c>
      <c r="N44" s="552">
        <f>'Rotor HP'!O17</f>
        <v>3789.4736842105262</v>
      </c>
      <c r="O44" s="552"/>
      <c r="P44" s="552">
        <f>'Rotor HP'!P17</f>
        <v>264.99176067044647</v>
      </c>
      <c r="Q44" s="553">
        <f>'Rotor HP'!Q17</f>
        <v>24.649145644829112</v>
      </c>
      <c r="R44" s="552">
        <f>'Rotor HP'!R17</f>
        <v>8117.7852990303873</v>
      </c>
      <c r="S44" s="554">
        <f>'Rotor HP'!S17</f>
        <v>4058.8926495151936</v>
      </c>
    </row>
    <row r="45" spans="2:19" ht="15" thickBot="1" x14ac:dyDescent="0.35">
      <c r="C45" s="278"/>
      <c r="D45" s="8"/>
      <c r="E45" s="463">
        <f>E42</f>
        <v>1450.6721460000001</v>
      </c>
      <c r="F45" s="479">
        <f>VLOOKUP(B3,M36:S49,7)</f>
        <v>2555.5990756206775</v>
      </c>
      <c r="G45" s="480" t="str">
        <f>IF(E45-F45&gt;0, "Cooling", "OverHeat")</f>
        <v>OverHeat</v>
      </c>
      <c r="H45" s="478">
        <f>(E45-F45)/F45</f>
        <v>-0.43235534875607362</v>
      </c>
      <c r="I45" s="280"/>
      <c r="M45" s="551">
        <f>'Rotor HP'!N18</f>
        <v>11300</v>
      </c>
      <c r="N45" s="552">
        <f>'Rotor HP'!O18</f>
        <v>3964.9122807017543</v>
      </c>
      <c r="O45" s="552"/>
      <c r="P45" s="552">
        <f>'Rotor HP'!P18</f>
        <v>277.25989773852274</v>
      </c>
      <c r="Q45" s="553">
        <f>'Rotor HP'!Q18</f>
        <v>25.790309795052679</v>
      </c>
      <c r="R45" s="552">
        <f>'Rotor HP'!R18</f>
        <v>8493.6086925040163</v>
      </c>
      <c r="S45" s="554">
        <f>'Rotor HP'!S18</f>
        <v>4246.8043462520081</v>
      </c>
    </row>
    <row r="46" spans="2:19" ht="15" thickTop="1" x14ac:dyDescent="0.3">
      <c r="C46" s="278"/>
      <c r="D46" s="8"/>
      <c r="E46" s="8" t="s">
        <v>1</v>
      </c>
      <c r="F46" s="8"/>
      <c r="G46" s="8"/>
      <c r="H46" s="8"/>
      <c r="I46" s="280"/>
      <c r="M46" s="551">
        <f>'Rotor HP'!N19</f>
        <v>11800</v>
      </c>
      <c r="N46" s="552">
        <f>'Rotor HP'!O19</f>
        <v>4140.3508771929819</v>
      </c>
      <c r="O46" s="552"/>
      <c r="P46" s="552">
        <f>'Rotor HP'!P19</f>
        <v>289.5280348065989</v>
      </c>
      <c r="Q46" s="553">
        <f>'Rotor HP'!Q19</f>
        <v>26.931473945276252</v>
      </c>
      <c r="R46" s="552">
        <f>'Rotor HP'!R19</f>
        <v>8869.4320859776453</v>
      </c>
      <c r="S46" s="554">
        <f>'Rotor HP'!S19</f>
        <v>4434.7160429888227</v>
      </c>
    </row>
    <row r="47" spans="2:19" ht="15" thickBot="1" x14ac:dyDescent="0.35">
      <c r="C47" s="288"/>
      <c r="D47" s="289"/>
      <c r="E47" s="289"/>
      <c r="F47" s="289"/>
      <c r="G47" s="289"/>
      <c r="H47" s="289"/>
      <c r="I47" s="290"/>
      <c r="M47" s="551">
        <f>'Rotor HP'!N20</f>
        <v>12300</v>
      </c>
      <c r="N47" s="552">
        <f>'Rotor HP'!O20</f>
        <v>4315.78947368421</v>
      </c>
      <c r="O47" s="552"/>
      <c r="P47" s="552">
        <f>'Rotor HP'!P20</f>
        <v>301.79617187467522</v>
      </c>
      <c r="Q47" s="553">
        <f>'Rotor HP'!Q20</f>
        <v>28.072638095499826</v>
      </c>
      <c r="R47" s="552">
        <f>'Rotor HP'!R20</f>
        <v>9245.2554794512762</v>
      </c>
      <c r="S47" s="554">
        <f>'Rotor HP'!S20</f>
        <v>4622.6277397256381</v>
      </c>
    </row>
    <row r="48" spans="2:19" ht="12.75" customHeight="1" thickTop="1" x14ac:dyDescent="0.3">
      <c r="C48" s="278"/>
      <c r="D48" s="8"/>
      <c r="E48" s="8"/>
      <c r="F48" s="8"/>
      <c r="G48" s="8"/>
      <c r="H48" s="8"/>
      <c r="I48" s="280"/>
      <c r="M48" s="551">
        <f>'Rotor HP'!N21</f>
        <v>12800</v>
      </c>
      <c r="N48" s="552">
        <f>'Rotor HP'!O21</f>
        <v>4491.228070175438</v>
      </c>
      <c r="O48" s="552"/>
      <c r="P48" s="552">
        <f>'Rotor HP'!P21</f>
        <v>314.06430894275132</v>
      </c>
      <c r="Q48" s="553">
        <f>'Rotor HP'!Q21</f>
        <v>29.213802245723386</v>
      </c>
      <c r="R48" s="552">
        <f>'Rotor HP'!R21</f>
        <v>9621.0788729249034</v>
      </c>
      <c r="S48" s="554">
        <f>'Rotor HP'!S21</f>
        <v>4810.5394364624517</v>
      </c>
    </row>
    <row r="49" spans="3:19" ht="15" thickBot="1" x14ac:dyDescent="0.35">
      <c r="C49" s="278"/>
      <c r="D49" s="8"/>
      <c r="E49" s="8"/>
      <c r="F49" s="8"/>
      <c r="G49" s="8"/>
      <c r="H49" s="8"/>
      <c r="I49" s="280"/>
      <c r="M49" s="555">
        <f>'Rotor HP'!N22</f>
        <v>13300</v>
      </c>
      <c r="N49" s="556">
        <f>'Rotor HP'!O22</f>
        <v>4666.666666666667</v>
      </c>
      <c r="O49" s="556"/>
      <c r="P49" s="556">
        <f>'Rotor HP'!P22</f>
        <v>326.3324460108276</v>
      </c>
      <c r="Q49" s="557">
        <f>'Rotor HP'!Q22</f>
        <v>30.35496639594696</v>
      </c>
      <c r="R49" s="556">
        <f>'Rotor HP'!R22</f>
        <v>9996.9022663985324</v>
      </c>
      <c r="S49" s="558">
        <f>'Rotor HP'!S22</f>
        <v>4998.4511331992662</v>
      </c>
    </row>
    <row r="50" spans="3:19" ht="17.25" thickTop="1" thickBot="1" x14ac:dyDescent="0.3">
      <c r="C50" s="508" t="s">
        <v>1</v>
      </c>
      <c r="D50" s="509" t="s">
        <v>363</v>
      </c>
      <c r="E50" s="8"/>
      <c r="F50" s="8"/>
      <c r="G50" s="8"/>
      <c r="H50" s="8"/>
      <c r="I50" s="280"/>
    </row>
    <row r="51" spans="3:19" ht="13.5" thickTop="1" x14ac:dyDescent="0.2">
      <c r="C51" s="488" t="s">
        <v>198</v>
      </c>
      <c r="D51" s="484"/>
      <c r="E51" s="488">
        <f>E23+E45</f>
        <v>12141.686264400001</v>
      </c>
      <c r="F51" s="489" t="s">
        <v>194</v>
      </c>
      <c r="G51" s="8" t="s">
        <v>204</v>
      </c>
      <c r="H51" s="8"/>
      <c r="I51" s="280"/>
    </row>
    <row r="52" spans="3:19" ht="13.5" thickBot="1" x14ac:dyDescent="0.25">
      <c r="C52" s="486" t="s">
        <v>201</v>
      </c>
      <c r="D52" s="487"/>
      <c r="E52" s="490">
        <f>F23+F45</f>
        <v>7666.7972268620324</v>
      </c>
      <c r="F52" s="491" t="s">
        <v>194</v>
      </c>
      <c r="G52" s="8" t="s">
        <v>205</v>
      </c>
      <c r="H52" s="8"/>
      <c r="I52" s="280"/>
    </row>
    <row r="53" spans="3:19" ht="13.5" thickTop="1" x14ac:dyDescent="0.2">
      <c r="C53" s="278"/>
      <c r="D53" s="8"/>
      <c r="E53" s="8"/>
      <c r="F53" s="8"/>
      <c r="G53" s="8" t="s">
        <v>206</v>
      </c>
      <c r="H53" s="8"/>
      <c r="I53" s="280"/>
    </row>
    <row r="54" spans="3:19" x14ac:dyDescent="0.2">
      <c r="C54" s="278" t="s">
        <v>202</v>
      </c>
      <c r="D54" s="8"/>
      <c r="E54" s="284">
        <f>IF((E51-E52)&gt;0, (E51-E52)/E52,"")</f>
        <v>0.5836712391269947</v>
      </c>
      <c r="F54" s="8"/>
      <c r="G54" s="8"/>
      <c r="H54" s="8"/>
      <c r="I54" s="280"/>
      <c r="L54" t="s">
        <v>1</v>
      </c>
    </row>
    <row r="55" spans="3:19" x14ac:dyDescent="0.2">
      <c r="C55" s="278"/>
      <c r="D55" s="8"/>
      <c r="E55" s="8"/>
      <c r="F55" s="8"/>
      <c r="G55" s="8"/>
      <c r="H55" s="8"/>
      <c r="I55" s="280"/>
    </row>
    <row r="56" spans="3:19" x14ac:dyDescent="0.2">
      <c r="C56" s="278" t="s">
        <v>203</v>
      </c>
      <c r="D56" s="8"/>
      <c r="E56" s="284" t="str">
        <f>IF((E51-E52)&lt;0, (E51-E52)/E52,"")</f>
        <v/>
      </c>
      <c r="F56" s="8"/>
      <c r="G56" s="8"/>
      <c r="H56" s="8"/>
      <c r="I56" s="280"/>
    </row>
    <row r="57" spans="3:19" ht="13.5" thickBot="1" x14ac:dyDescent="0.25">
      <c r="C57" s="285"/>
      <c r="D57" s="286"/>
      <c r="E57" s="286"/>
      <c r="F57" s="286"/>
      <c r="G57" s="286"/>
      <c r="H57" s="286"/>
      <c r="I57" s="287"/>
    </row>
    <row r="58" spans="3:19" ht="12.75" customHeight="1" thickTop="1" x14ac:dyDescent="0.2">
      <c r="L58" t="s">
        <v>1</v>
      </c>
    </row>
    <row r="96" ht="12.75" customHeight="1" x14ac:dyDescent="0.2"/>
    <row r="98" spans="1:1" ht="12.75" customHeight="1" x14ac:dyDescent="0.2"/>
    <row r="99" spans="1:1" x14ac:dyDescent="0.2">
      <c r="A99" s="292" t="s">
        <v>241</v>
      </c>
    </row>
    <row r="100" spans="1:1" x14ac:dyDescent="0.2">
      <c r="A100">
        <f>A101</f>
        <v>2</v>
      </c>
    </row>
    <row r="101" spans="1:1" x14ac:dyDescent="0.2">
      <c r="A101">
        <v>2</v>
      </c>
    </row>
  </sheetData>
  <mergeCells count="6">
    <mergeCell ref="F43:F44"/>
    <mergeCell ref="D1:D2"/>
    <mergeCell ref="D20:D21"/>
    <mergeCell ref="D34:D35"/>
    <mergeCell ref="F21:F22"/>
    <mergeCell ref="E12:G13"/>
  </mergeCells>
  <phoneticPr fontId="91"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workbookViewId="0">
      <selection activeCell="F10" sqref="F10"/>
    </sheetView>
  </sheetViews>
  <sheetFormatPr defaultRowHeight="12.75" x14ac:dyDescent="0.2"/>
  <cols>
    <col min="3" max="3" width="18.42578125" customWidth="1"/>
    <col min="4" max="4" width="19.42578125" customWidth="1"/>
    <col min="5" max="5" width="11.85546875" customWidth="1"/>
    <col min="6" max="6" width="21.5703125" customWidth="1"/>
    <col min="7" max="7" width="14.28515625" customWidth="1"/>
    <col min="8" max="8" width="13.85546875" customWidth="1"/>
    <col min="9" max="9" width="14.5703125" customWidth="1"/>
    <col min="10" max="10" width="13.42578125" customWidth="1"/>
    <col min="11" max="11" width="13" customWidth="1"/>
    <col min="13" max="13" width="20.85546875" customWidth="1"/>
  </cols>
  <sheetData>
    <row r="1" spans="1:13" x14ac:dyDescent="0.2">
      <c r="A1" t="s">
        <v>285</v>
      </c>
    </row>
    <row r="2" spans="1:13" x14ac:dyDescent="0.2">
      <c r="C2" t="s">
        <v>286</v>
      </c>
      <c r="D2" t="s">
        <v>287</v>
      </c>
    </row>
    <row r="3" spans="1:13" x14ac:dyDescent="0.2">
      <c r="C3">
        <v>12</v>
      </c>
      <c r="D3">
        <f>101.3*C3/29.92</f>
        <v>40.628342245989302</v>
      </c>
      <c r="K3" t="s">
        <v>1</v>
      </c>
    </row>
    <row r="5" spans="1:13" x14ac:dyDescent="0.2">
      <c r="C5" t="s">
        <v>1</v>
      </c>
      <c r="F5" s="440" t="s">
        <v>288</v>
      </c>
    </row>
    <row r="6" spans="1:13" x14ac:dyDescent="0.2">
      <c r="D6" t="s">
        <v>289</v>
      </c>
      <c r="F6" s="511" t="s">
        <v>369</v>
      </c>
      <c r="G6" s="448" t="s">
        <v>368</v>
      </c>
    </row>
    <row r="7" spans="1:13" x14ac:dyDescent="0.2">
      <c r="C7" s="273" t="s">
        <v>290</v>
      </c>
      <c r="D7" s="273">
        <f>'Power and Cooling'!$I$10</f>
        <v>90</v>
      </c>
      <c r="E7" t="s">
        <v>291</v>
      </c>
      <c r="F7" s="511" t="s">
        <v>292</v>
      </c>
      <c r="G7" s="448" t="s">
        <v>292</v>
      </c>
    </row>
    <row r="8" spans="1:13" x14ac:dyDescent="0.2">
      <c r="C8" s="273" t="s">
        <v>293</v>
      </c>
      <c r="D8" s="273">
        <f>D9</f>
        <v>98.185160427807475</v>
      </c>
      <c r="E8">
        <f>(( 29.92*D8)/101.3)</f>
        <v>29</v>
      </c>
      <c r="F8" s="512">
        <f>0.0405*(D8*10-31)/((D7+459.7) )</f>
        <v>7.0055466569514321E-2</v>
      </c>
      <c r="G8" s="448">
        <f>'Cooling Calculations'!$H$1</f>
        <v>7.1046079999999998E-2</v>
      </c>
      <c r="I8" s="441" t="s">
        <v>294</v>
      </c>
    </row>
    <row r="9" spans="1:13" x14ac:dyDescent="0.2">
      <c r="C9" t="s">
        <v>337</v>
      </c>
      <c r="D9">
        <f>E9*101.3/29.92</f>
        <v>98.185160427807475</v>
      </c>
      <c r="E9" s="249">
        <f>'Power and Cooling'!$I$9</f>
        <v>29</v>
      </c>
      <c r="F9" t="s">
        <v>1</v>
      </c>
      <c r="G9" t="s">
        <v>1</v>
      </c>
    </row>
    <row r="10" spans="1:13" x14ac:dyDescent="0.2">
      <c r="C10" t="s">
        <v>295</v>
      </c>
      <c r="D10">
        <v>7.6499999999999999E-2</v>
      </c>
      <c r="F10" t="b">
        <f>IF(F8&gt;G8,TRUE, FALSE)</f>
        <v>0</v>
      </c>
      <c r="L10" t="s">
        <v>296</v>
      </c>
    </row>
    <row r="11" spans="1:13" x14ac:dyDescent="0.2">
      <c r="C11" t="s">
        <v>297</v>
      </c>
      <c r="D11">
        <v>4</v>
      </c>
      <c r="H11" t="s">
        <v>298</v>
      </c>
      <c r="J11" t="s">
        <v>299</v>
      </c>
      <c r="K11" t="s">
        <v>300</v>
      </c>
      <c r="L11" t="s">
        <v>301</v>
      </c>
      <c r="M11" t="s">
        <v>302</v>
      </c>
    </row>
    <row r="12" spans="1:13" x14ac:dyDescent="0.2">
      <c r="C12" t="s">
        <v>303</v>
      </c>
      <c r="D12">
        <v>160</v>
      </c>
      <c r="H12" t="s">
        <v>304</v>
      </c>
      <c r="I12" s="441">
        <f>IF(D8&lt;40.6,2,4)</f>
        <v>4</v>
      </c>
      <c r="J12" t="s">
        <v>305</v>
      </c>
    </row>
    <row r="13" spans="1:13" x14ac:dyDescent="0.2">
      <c r="C13" t="s">
        <v>306</v>
      </c>
      <c r="D13">
        <v>45</v>
      </c>
      <c r="H13" t="s">
        <v>307</v>
      </c>
      <c r="I13">
        <v>44.548900000000003</v>
      </c>
      <c r="J13" s="291">
        <v>1</v>
      </c>
    </row>
    <row r="14" spans="1:13" x14ac:dyDescent="0.2">
      <c r="C14" t="s">
        <v>308</v>
      </c>
      <c r="D14">
        <v>1</v>
      </c>
      <c r="H14" t="s">
        <v>309</v>
      </c>
      <c r="I14">
        <f>I12*I13</f>
        <v>178.19560000000001</v>
      </c>
      <c r="J14">
        <f>I14*J13</f>
        <v>178.19560000000001</v>
      </c>
      <c r="K14">
        <f>J14</f>
        <v>178.19560000000001</v>
      </c>
      <c r="L14">
        <f>K14/(3600)</f>
        <v>4.949877777777778E-2</v>
      </c>
      <c r="M14" s="442">
        <f>L14/1000</f>
        <v>4.9498777777777783E-5</v>
      </c>
    </row>
    <row r="15" spans="1:13" x14ac:dyDescent="0.2">
      <c r="C15" t="s">
        <v>310</v>
      </c>
      <c r="D15">
        <v>14.7</v>
      </c>
      <c r="J15" t="s">
        <v>311</v>
      </c>
      <c r="K15">
        <f>K14/6.11</f>
        <v>29.164582651391164</v>
      </c>
      <c r="L15">
        <f>K15/3600</f>
        <v>8.1012729587197681E-3</v>
      </c>
      <c r="M15">
        <f>L15/1000</f>
        <v>8.1012729587197673E-6</v>
      </c>
    </row>
    <row r="16" spans="1:13" x14ac:dyDescent="0.2">
      <c r="C16" t="s">
        <v>312</v>
      </c>
      <c r="D16" s="273">
        <f>(36000000*D12*F8/((1728)*(D11*D15*D13))) * (1/D14) *10^-1</f>
        <v>8.8253296257891574</v>
      </c>
      <c r="E16" t="s">
        <v>313</v>
      </c>
      <c r="F16" t="s">
        <v>314</v>
      </c>
      <c r="G16" t="s">
        <v>315</v>
      </c>
    </row>
    <row r="18" spans="3:14" x14ac:dyDescent="0.2">
      <c r="C18" t="s">
        <v>316</v>
      </c>
      <c r="D18">
        <v>2</v>
      </c>
      <c r="E18" t="s">
        <v>1</v>
      </c>
      <c r="N18" t="s">
        <v>1</v>
      </c>
    </row>
    <row r="19" spans="3:14" x14ac:dyDescent="0.2">
      <c r="C19" t="s">
        <v>317</v>
      </c>
      <c r="E19" t="s">
        <v>318</v>
      </c>
    </row>
    <row r="20" spans="3:14" x14ac:dyDescent="0.2">
      <c r="C20" t="s">
        <v>319</v>
      </c>
      <c r="D20">
        <v>40</v>
      </c>
      <c r="G20" s="443" t="s">
        <v>320</v>
      </c>
    </row>
    <row r="21" spans="3:14" x14ac:dyDescent="0.2">
      <c r="C21" t="s">
        <v>321</v>
      </c>
      <c r="D21">
        <v>3</v>
      </c>
      <c r="G21" s="444">
        <v>1</v>
      </c>
      <c r="N21" t="s">
        <v>1</v>
      </c>
    </row>
    <row r="22" spans="3:14" x14ac:dyDescent="0.2">
      <c r="D22" t="s">
        <v>322</v>
      </c>
      <c r="E22" t="s">
        <v>323</v>
      </c>
      <c r="F22" t="s">
        <v>324</v>
      </c>
      <c r="G22" s="443" t="s">
        <v>325</v>
      </c>
      <c r="H22" t="s">
        <v>310</v>
      </c>
      <c r="I22" t="s">
        <v>326</v>
      </c>
      <c r="J22" t="s">
        <v>327</v>
      </c>
    </row>
    <row r="23" spans="3:14" x14ac:dyDescent="0.2">
      <c r="C23" t="s">
        <v>328</v>
      </c>
      <c r="D23">
        <f>D18*D20*D21/3</f>
        <v>80</v>
      </c>
      <c r="E23">
        <f>D23/1728</f>
        <v>4.6296296296296294E-2</v>
      </c>
      <c r="F23">
        <f>E23*F8</f>
        <v>3.2433086374775147E-3</v>
      </c>
      <c r="G23" s="442">
        <f>F23*G$21</f>
        <v>3.2433086374775147E-3</v>
      </c>
      <c r="H23">
        <v>12</v>
      </c>
      <c r="I23" s="442">
        <f>G23/H23</f>
        <v>2.7027571978979287E-4</v>
      </c>
      <c r="J23" s="273">
        <f>I23/M$14</f>
        <v>5.4602503723057936</v>
      </c>
      <c r="K23" t="s">
        <v>329</v>
      </c>
    </row>
    <row r="24" spans="3:14" x14ac:dyDescent="0.2">
      <c r="J24" t="s">
        <v>1</v>
      </c>
      <c r="M24" t="s">
        <v>1</v>
      </c>
      <c r="N24" t="s">
        <v>1</v>
      </c>
    </row>
    <row r="25" spans="3:14" x14ac:dyDescent="0.2">
      <c r="E25" t="s">
        <v>330</v>
      </c>
      <c r="F25" t="s">
        <v>331</v>
      </c>
      <c r="G25" t="s">
        <v>332</v>
      </c>
      <c r="I25" t="s">
        <v>333</v>
      </c>
      <c r="K25" t="s">
        <v>334</v>
      </c>
      <c r="N25" t="s">
        <v>1</v>
      </c>
    </row>
    <row r="26" spans="3:14" x14ac:dyDescent="0.2">
      <c r="C26" t="s">
        <v>0</v>
      </c>
      <c r="D26" s="273">
        <v>2200</v>
      </c>
      <c r="E26">
        <f>D26*D23/1728</f>
        <v>101.85185185185185</v>
      </c>
      <c r="F26">
        <f>E26*F8</f>
        <v>7.1352790024505328</v>
      </c>
      <c r="G26" s="442">
        <f>F26*G$21/60</f>
        <v>0.11892131670750888</v>
      </c>
      <c r="H26">
        <v>14.7</v>
      </c>
      <c r="I26" s="442">
        <f>G26/H26/1000</f>
        <v>8.0898854903067266E-6</v>
      </c>
      <c r="J26" s="445">
        <f>I26/M$14</f>
        <v>0.1634360655656156</v>
      </c>
      <c r="K26" s="446">
        <f>J26*10</f>
        <v>1.6343606556561561</v>
      </c>
      <c r="L26" t="s">
        <v>1</v>
      </c>
    </row>
    <row r="27" spans="3:14" x14ac:dyDescent="0.2">
      <c r="E27" t="s">
        <v>335</v>
      </c>
      <c r="F27" t="s">
        <v>1</v>
      </c>
      <c r="I27" s="442">
        <f>I26*1000*60/6.11</f>
        <v>7.9442410706776365E-2</v>
      </c>
      <c r="J27" s="447" t="s">
        <v>75</v>
      </c>
    </row>
    <row r="28" spans="3:14" x14ac:dyDescent="0.2">
      <c r="E28" t="s">
        <v>336</v>
      </c>
      <c r="F28" t="s">
        <v>1</v>
      </c>
      <c r="I28" s="249">
        <f>I27*60</f>
        <v>4.7665446424065818</v>
      </c>
      <c r="J28" s="448">
        <f>I28*6.11/0.55</f>
        <v>52.951977754734934</v>
      </c>
    </row>
    <row r="29" spans="3:14" x14ac:dyDescent="0.2">
      <c r="I29" t="s">
        <v>1</v>
      </c>
      <c r="J29" s="449" t="s">
        <v>1</v>
      </c>
      <c r="K29" t="s">
        <v>1</v>
      </c>
    </row>
    <row r="30" spans="3:14" x14ac:dyDescent="0.2">
      <c r="I30" t="s">
        <v>1</v>
      </c>
    </row>
  </sheetData>
  <sheetProtection password="9F83" sheet="1" objects="1" scenarios="1"/>
  <phoneticPr fontId="9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workbookViewId="0">
      <selection activeCell="F4" sqref="F4"/>
    </sheetView>
  </sheetViews>
  <sheetFormatPr defaultRowHeight="12.75" x14ac:dyDescent="0.2"/>
  <cols>
    <col min="1" max="1" width="16" customWidth="1"/>
    <col min="4" max="4" width="14.85546875" customWidth="1"/>
    <col min="5" max="5" width="12.5703125" customWidth="1"/>
  </cols>
  <sheetData>
    <row r="1" spans="1:6" x14ac:dyDescent="0.2">
      <c r="A1" t="s">
        <v>214</v>
      </c>
      <c r="B1" t="s">
        <v>215</v>
      </c>
      <c r="D1" t="s">
        <v>216</v>
      </c>
    </row>
    <row r="2" spans="1:6" x14ac:dyDescent="0.2">
      <c r="B2">
        <v>72</v>
      </c>
      <c r="D2" t="s">
        <v>153</v>
      </c>
      <c r="E2" t="s">
        <v>85</v>
      </c>
      <c r="F2" t="s">
        <v>217</v>
      </c>
    </row>
    <row r="3" spans="1:6" x14ac:dyDescent="0.2">
      <c r="A3" t="s">
        <v>213</v>
      </c>
      <c r="B3">
        <f>'Cooling Calculations'!$B$2</f>
        <v>90</v>
      </c>
      <c r="D3" s="249">
        <f>'Cooling Calculations'!$B$3</f>
        <v>6800</v>
      </c>
      <c r="E3">
        <f>D3/2.17</f>
        <v>3133.6405529953918</v>
      </c>
      <c r="F3">
        <f>(B2*E3/12)*60/5280</f>
        <v>213.65731043150396</v>
      </c>
    </row>
  </sheetData>
  <phoneticPr fontId="9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Power and Cooling</vt:lpstr>
      <vt:lpstr>Rotor HP</vt:lpstr>
      <vt:lpstr>Cooling Calculations</vt:lpstr>
      <vt:lpstr>Manifold Pressure</vt:lpstr>
      <vt:lpstr>Performance</vt:lpstr>
      <vt:lpstr>AirFlow_per_Rotor_Rev</vt:lpstr>
      <vt:lpstr>'Rotor HP'!F_A</vt:lpstr>
      <vt:lpstr>Faces_per_rotor</vt:lpstr>
      <vt:lpstr>Number_Rotors</vt:lpstr>
      <vt:lpstr>'Rotor HP'!Pa</vt:lpstr>
      <vt:lpstr>Pa_8000</vt:lpstr>
      <vt:lpstr>'Rotor HP'!Pf</vt:lpstr>
      <vt:lpstr>'Rotor HP'!Print_Area</vt:lpstr>
      <vt:lpstr>RPM_Start</vt:lpstr>
      <vt:lpstr>RPM_Step</vt:lpstr>
      <vt:lpstr>Total_Volume_Swept_per_Rotor</vt:lpstr>
      <vt:lpstr>VCID</vt:lpstr>
      <vt:lpstr>'Rotor HP'!Ve</vt:lpstr>
      <vt:lpstr>'Rotor HP'!Vt</vt:lpstr>
      <vt:lpstr>Vt_Rotor</vt:lpstr>
    </vt:vector>
  </TitlesOfParts>
  <Company>Anderson,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Anderson</dc:creator>
  <cp:lastModifiedBy>Computer</cp:lastModifiedBy>
  <cp:lastPrinted>2001-03-23T02:01:49Z</cp:lastPrinted>
  <dcterms:created xsi:type="dcterms:W3CDTF">1998-12-04T02:28:27Z</dcterms:created>
  <dcterms:modified xsi:type="dcterms:W3CDTF">2019-08-19T15:48:04Z</dcterms:modified>
</cp:coreProperties>
</file>