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57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<sst xmlns="http://schemas.openxmlformats.org/spreadsheetml/2006/main" count="129" uniqueCount="83">
  <si>
    <t>TBM 700</t>
  </si>
  <si>
    <t>Assumptions:</t>
  </si>
  <si>
    <t>Insurance</t>
  </si>
  <si>
    <t>Hanger</t>
  </si>
  <si>
    <t>Engine TBO</t>
  </si>
  <si>
    <t>Annual</t>
  </si>
  <si>
    <t>Engine</t>
  </si>
  <si>
    <t>Maintenance</t>
  </si>
  <si>
    <t>Cruise speed kts:</t>
  </si>
  <si>
    <t>Debonair</t>
  </si>
  <si>
    <t>Fixed Costs/yr:</t>
  </si>
  <si>
    <t>Direct Operating Costs/hr:</t>
  </si>
  <si>
    <t>mph:</t>
  </si>
  <si>
    <t>Fuel burn gph:</t>
  </si>
  <si>
    <t>Fuel price</t>
  </si>
  <si>
    <t xml:space="preserve">Fuel </t>
  </si>
  <si>
    <t>Term</t>
  </si>
  <si>
    <t>Purchase price</t>
  </si>
  <si>
    <t>Interest rate</t>
  </si>
  <si>
    <t>DOC/st. mile:</t>
  </si>
  <si>
    <t>Fixed costs/hr</t>
  </si>
  <si>
    <t>Total cost/hr:</t>
  </si>
  <si>
    <t>Total cost/st. mile</t>
  </si>
  <si>
    <t>P&amp;I at 85%</t>
  </si>
  <si>
    <t>Typical trips:</t>
  </si>
  <si>
    <t>1/2 of 1/4 = $1,615.39</t>
  </si>
  <si>
    <t>Time on engine</t>
  </si>
  <si>
    <t>cost of engine overhaul</t>
  </si>
  <si>
    <t>Any shortage of funds shall be split in proportion to the ownership interest in the airplane.</t>
  </si>
  <si>
    <t>Total cost per month for Shane if no use:</t>
  </si>
  <si>
    <t>Engine and Maintenance charges shall be escrowed until needed for their intended purpose.</t>
  </si>
  <si>
    <t>Ownership commitment of five years unless all parties agree otherwise.</t>
  </si>
  <si>
    <t>After five years the airplane may be sold at the request of any owner.  The remaining owners shall have the right of first refusal.</t>
  </si>
  <si>
    <t>Hrs of use/yr</t>
  </si>
  <si>
    <t>TBM</t>
  </si>
  <si>
    <t>DOC/hr</t>
  </si>
  <si>
    <t>Total cost/yr</t>
  </si>
  <si>
    <t>Minimum number of hours of use per year:</t>
  </si>
  <si>
    <t>Rent shall be charged at $????/hr adjusted as necessary to reflect the actual total operating cost of the airplane.</t>
  </si>
  <si>
    <t>Barron</t>
  </si>
  <si>
    <t>Total Costs:</t>
  </si>
  <si>
    <t>Lancair pj</t>
  </si>
  <si>
    <t>ICT</t>
  </si>
  <si>
    <t>OJC</t>
  </si>
  <si>
    <t>TPA</t>
  </si>
  <si>
    <t>DOC:</t>
  </si>
  <si>
    <t>Time:</t>
  </si>
  <si>
    <t>Statute miles/yr</t>
  </si>
  <si>
    <t>Fixed costs/st. mile</t>
  </si>
  <si>
    <t>Lancair IVP pj</t>
  </si>
  <si>
    <t>king air</t>
  </si>
  <si>
    <t>Eclipse 400</t>
  </si>
  <si>
    <t>CMH</t>
  </si>
  <si>
    <t>Piper Mirage</t>
  </si>
  <si>
    <t>Training</t>
  </si>
  <si>
    <t>Lancair esp</t>
  </si>
  <si>
    <t>IVP</t>
  </si>
  <si>
    <t>Lancair IVP</t>
  </si>
  <si>
    <t>King Air C90</t>
  </si>
  <si>
    <t>King Air C90B</t>
  </si>
  <si>
    <t>fuel capacity</t>
  </si>
  <si>
    <t>Range hrs.</t>
  </si>
  <si>
    <t>Range kt.miles:</t>
  </si>
  <si>
    <t>Eclipse</t>
  </si>
  <si>
    <t>Pressurized:</t>
  </si>
  <si>
    <t>no</t>
  </si>
  <si>
    <t>yes</t>
  </si>
  <si>
    <t>?</t>
  </si>
  <si>
    <t>turbine</t>
  </si>
  <si>
    <t>jet</t>
  </si>
  <si>
    <t>Turbo Charged:</t>
  </si>
  <si>
    <t>A/C</t>
  </si>
  <si>
    <t>TPA nm</t>
  </si>
  <si>
    <t>CMH nm</t>
  </si>
  <si>
    <t>OJC  nm</t>
  </si>
  <si>
    <t>ICT  nm</t>
  </si>
  <si>
    <t>ICT  sm:</t>
  </si>
  <si>
    <t>OJC sm:</t>
  </si>
  <si>
    <t>CMH sm:</t>
  </si>
  <si>
    <t>TPA sm:</t>
  </si>
  <si>
    <t>Columbia</t>
  </si>
  <si>
    <t>Deice</t>
  </si>
  <si>
    <t>citation mustang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</si>
</sst>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h:mm:ss\ AM/PM"/>
    <numFmt numFmtId="168" formatCode="[$-F400]h:mm:ss\ AM/P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mm:ss.0;@"/>
    <numFmt numFmtId="177" formatCode="#,##0.0"/>
    <numFmt numFmtId="178" formatCode="#,##0.000"/>
  </numFmts>
  <fonts count="38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44" applyNumberFormat="1" applyFont="1" applyAlignment="1">
      <alignment/>
    </xf>
    <xf numFmtId="0" fontId="0" fillId="0" borderId="0" xfId="0" applyAlignment="1">
      <alignment wrapText="1"/>
    </xf>
    <xf numFmtId="164" fontId="3" fillId="0" borderId="0" xfId="0" applyNumberFormat="1" applyFont="1" applyAlignment="1">
      <alignment/>
    </xf>
    <xf numFmtId="44" fontId="0" fillId="0" borderId="0" xfId="44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15.421875" style="0" customWidth="1"/>
    <col min="3" max="3" width="12.140625" style="0" customWidth="1"/>
    <col min="4" max="4" width="13.421875" style="0" customWidth="1"/>
    <col min="5" max="5" width="13.57421875" style="0" customWidth="1"/>
    <col min="6" max="6" width="14.00390625" style="0" customWidth="1"/>
    <col min="7" max="7" width="12.57421875" style="0" customWidth="1"/>
    <col min="8" max="8" width="13.421875" style="0" customWidth="1"/>
    <col min="9" max="9" width="12.140625" style="0" customWidth="1"/>
    <col min="10" max="10" width="14.8515625" style="0" customWidth="1"/>
    <col min="11" max="11" width="13.421875" style="0" customWidth="1"/>
    <col min="12" max="12" width="12.28125" style="0" customWidth="1"/>
    <col min="13" max="13" width="14.00390625" style="0" customWidth="1"/>
  </cols>
  <sheetData>
    <row r="1" spans="3:12" ht="12.75">
      <c r="C1" s="26" t="s">
        <v>9</v>
      </c>
      <c r="D1" s="23" t="s">
        <v>80</v>
      </c>
      <c r="E1" s="23" t="s">
        <v>57</v>
      </c>
      <c r="F1" s="23" t="s">
        <v>53</v>
      </c>
      <c r="G1" s="26" t="s">
        <v>0</v>
      </c>
      <c r="H1" s="10" t="s">
        <v>49</v>
      </c>
      <c r="I1" s="21" t="s">
        <v>39</v>
      </c>
      <c r="J1" s="23" t="s">
        <v>59</v>
      </c>
      <c r="K1" s="21" t="s">
        <v>51</v>
      </c>
      <c r="L1" s="23" t="s">
        <v>82</v>
      </c>
    </row>
    <row r="2" ht="12.75">
      <c r="A2" t="s">
        <v>1</v>
      </c>
    </row>
    <row r="3" spans="2:12" ht="12.75">
      <c r="B3" t="s">
        <v>17</v>
      </c>
      <c r="C3" s="2">
        <v>55000</v>
      </c>
      <c r="D3" s="2">
        <v>300000</v>
      </c>
      <c r="E3" s="17">
        <v>250000</v>
      </c>
      <c r="F3" s="2">
        <v>430000</v>
      </c>
      <c r="G3" s="2">
        <v>1400000</v>
      </c>
      <c r="H3" s="2">
        <v>475000</v>
      </c>
      <c r="I3" s="2">
        <v>150000</v>
      </c>
      <c r="J3" s="2">
        <v>350000</v>
      </c>
      <c r="K3" s="2">
        <v>1350000</v>
      </c>
      <c r="L3" s="12">
        <v>3500000</v>
      </c>
    </row>
    <row r="4" spans="2:12" ht="12.75">
      <c r="B4" t="s">
        <v>18</v>
      </c>
      <c r="C4" s="5">
        <v>0.055</v>
      </c>
      <c r="D4" s="5">
        <v>0.055</v>
      </c>
      <c r="E4" s="5">
        <v>0.055</v>
      </c>
      <c r="F4" s="5">
        <v>0.055</v>
      </c>
      <c r="G4" s="5">
        <v>0.055</v>
      </c>
      <c r="H4" s="5">
        <v>0.055</v>
      </c>
      <c r="I4" s="5">
        <v>0.055</v>
      </c>
      <c r="J4" s="5">
        <v>0.055</v>
      </c>
      <c r="K4" s="5">
        <v>0.055</v>
      </c>
      <c r="L4" s="5">
        <v>0.055</v>
      </c>
    </row>
    <row r="5" spans="2:12" ht="12.75">
      <c r="B5" t="s">
        <v>16</v>
      </c>
      <c r="C5" s="4">
        <v>20</v>
      </c>
      <c r="D5" s="4">
        <v>20</v>
      </c>
      <c r="E5">
        <v>20</v>
      </c>
      <c r="F5" s="4">
        <v>20</v>
      </c>
      <c r="G5" s="4">
        <v>20</v>
      </c>
      <c r="H5" s="4">
        <v>20</v>
      </c>
      <c r="I5" s="4">
        <v>20</v>
      </c>
      <c r="J5" s="4">
        <v>20</v>
      </c>
      <c r="K5" s="4">
        <v>20</v>
      </c>
      <c r="L5" s="4">
        <v>20</v>
      </c>
    </row>
    <row r="6" spans="2:12" ht="12.75">
      <c r="B6" t="s">
        <v>4</v>
      </c>
      <c r="C6">
        <v>1800</v>
      </c>
      <c r="D6">
        <v>2000</v>
      </c>
      <c r="E6">
        <v>2000</v>
      </c>
      <c r="F6">
        <v>600</v>
      </c>
      <c r="G6">
        <v>3000</v>
      </c>
      <c r="H6">
        <v>6000</v>
      </c>
      <c r="I6">
        <v>1800</v>
      </c>
      <c r="J6">
        <v>3500</v>
      </c>
      <c r="K6">
        <v>3500</v>
      </c>
      <c r="L6">
        <v>3500</v>
      </c>
    </row>
    <row r="7" spans="2:12" ht="12.75">
      <c r="B7" t="s">
        <v>26</v>
      </c>
      <c r="C7">
        <v>1500</v>
      </c>
      <c r="D7">
        <v>0</v>
      </c>
      <c r="E7">
        <v>0</v>
      </c>
      <c r="F7">
        <v>230</v>
      </c>
      <c r="G7">
        <v>2000</v>
      </c>
      <c r="H7">
        <v>400</v>
      </c>
      <c r="I7">
        <v>400</v>
      </c>
      <c r="J7">
        <v>400</v>
      </c>
      <c r="K7">
        <v>0</v>
      </c>
      <c r="L7">
        <v>0</v>
      </c>
    </row>
    <row r="8" spans="2:12" ht="25.5">
      <c r="B8" s="15" t="s">
        <v>27</v>
      </c>
      <c r="C8" s="17">
        <v>30000</v>
      </c>
      <c r="D8" s="17">
        <v>53000</v>
      </c>
      <c r="E8" s="17">
        <v>53000</v>
      </c>
      <c r="F8" s="17">
        <v>53000</v>
      </c>
      <c r="G8" s="17">
        <v>70000</v>
      </c>
      <c r="H8" s="17">
        <v>70000</v>
      </c>
      <c r="I8" s="17">
        <v>66000</v>
      </c>
      <c r="J8" s="17">
        <v>250000</v>
      </c>
      <c r="K8" s="17">
        <v>250000</v>
      </c>
      <c r="L8" s="17">
        <v>250000</v>
      </c>
    </row>
    <row r="9" spans="2:12" ht="12.75">
      <c r="B9" t="s">
        <v>8</v>
      </c>
      <c r="C9">
        <v>160</v>
      </c>
      <c r="D9">
        <v>225</v>
      </c>
      <c r="E9">
        <v>250</v>
      </c>
      <c r="F9" s="20">
        <v>205</v>
      </c>
      <c r="G9">
        <v>270</v>
      </c>
      <c r="H9">
        <v>270</v>
      </c>
      <c r="I9">
        <v>200</v>
      </c>
      <c r="J9">
        <v>250</v>
      </c>
      <c r="K9">
        <v>330</v>
      </c>
      <c r="L9">
        <v>313</v>
      </c>
    </row>
    <row r="10" spans="2:12" ht="12.75">
      <c r="B10" s="1" t="s">
        <v>12</v>
      </c>
      <c r="C10" s="20">
        <f>+C9*1.15184</f>
        <v>184.2944</v>
      </c>
      <c r="D10" s="20">
        <f aca="true" t="shared" si="0" ref="D10:K10">+D9*1.15</f>
        <v>258.75</v>
      </c>
      <c r="E10" s="20">
        <f t="shared" si="0"/>
        <v>287.5</v>
      </c>
      <c r="F10" s="20">
        <f t="shared" si="0"/>
        <v>235.74999999999997</v>
      </c>
      <c r="G10" s="20">
        <f>+G9*1.15</f>
        <v>310.5</v>
      </c>
      <c r="H10" s="20">
        <f t="shared" si="0"/>
        <v>310.5</v>
      </c>
      <c r="I10" s="20">
        <f t="shared" si="0"/>
        <v>229.99999999999997</v>
      </c>
      <c r="J10" s="20">
        <f t="shared" si="0"/>
        <v>287.5</v>
      </c>
      <c r="K10" s="20">
        <f t="shared" si="0"/>
        <v>379.49999999999994</v>
      </c>
      <c r="L10" s="20">
        <f>+L9*1.15</f>
        <v>359.95</v>
      </c>
    </row>
    <row r="11" spans="2:12" ht="12.75">
      <c r="B11" t="s">
        <v>13</v>
      </c>
      <c r="C11">
        <v>15</v>
      </c>
      <c r="D11">
        <v>17</v>
      </c>
      <c r="E11">
        <v>17</v>
      </c>
      <c r="F11">
        <v>21</v>
      </c>
      <c r="G11">
        <v>53</v>
      </c>
      <c r="H11">
        <v>35</v>
      </c>
      <c r="I11">
        <v>35</v>
      </c>
      <c r="J11">
        <v>80</v>
      </c>
      <c r="K11">
        <v>52</v>
      </c>
      <c r="L11">
        <v>95</v>
      </c>
    </row>
    <row r="12" spans="2:12" ht="12.75">
      <c r="B12" t="s">
        <v>14</v>
      </c>
      <c r="C12" s="2">
        <v>6.06</v>
      </c>
      <c r="D12" s="2">
        <v>6.06</v>
      </c>
      <c r="E12" s="2">
        <v>6.06</v>
      </c>
      <c r="F12" s="2">
        <v>6.06</v>
      </c>
      <c r="G12" s="2">
        <v>6.06</v>
      </c>
      <c r="H12" s="2">
        <v>6.06</v>
      </c>
      <c r="I12" s="2">
        <v>6.06</v>
      </c>
      <c r="J12" s="2">
        <v>6.06</v>
      </c>
      <c r="K12" s="2">
        <v>6.06</v>
      </c>
      <c r="L12" s="2">
        <v>6.06</v>
      </c>
    </row>
    <row r="13" spans="2:12" ht="12.75">
      <c r="B13" s="10" t="s">
        <v>33</v>
      </c>
      <c r="C13" s="12">
        <f aca="true" t="shared" si="1" ref="C13:J13">+C14/C10</f>
        <v>271.3050423669954</v>
      </c>
      <c r="D13" s="12">
        <f>+D14/D10</f>
        <v>193.23671497584542</v>
      </c>
      <c r="E13" s="20">
        <f t="shared" si="1"/>
        <v>173.91304347826087</v>
      </c>
      <c r="F13" s="12">
        <f>+F14/F10</f>
        <v>212.0890774125133</v>
      </c>
      <c r="G13" s="12">
        <f>+G14/G10</f>
        <v>161.0305958132045</v>
      </c>
      <c r="H13" s="12">
        <f>+H14/H10</f>
        <v>161.0305958132045</v>
      </c>
      <c r="I13" s="12">
        <f t="shared" si="1"/>
        <v>217.39130434782612</v>
      </c>
      <c r="J13" s="12">
        <f t="shared" si="1"/>
        <v>173.91304347826087</v>
      </c>
      <c r="K13" s="12">
        <f>+K14/K10</f>
        <v>131.75230566534916</v>
      </c>
      <c r="L13" s="12">
        <f>+L14/L10</f>
        <v>138.90818169190166</v>
      </c>
    </row>
    <row r="14" spans="2:12" ht="12.75">
      <c r="B14" s="10" t="s">
        <v>47</v>
      </c>
      <c r="C14" s="12">
        <v>50000</v>
      </c>
      <c r="D14" s="12">
        <v>50000</v>
      </c>
      <c r="E14" s="12">
        <v>50000</v>
      </c>
      <c r="F14" s="12">
        <v>50000</v>
      </c>
      <c r="G14" s="12">
        <v>50000</v>
      </c>
      <c r="H14" s="12">
        <v>50000</v>
      </c>
      <c r="I14" s="12">
        <v>50000</v>
      </c>
      <c r="J14" s="12">
        <v>50000</v>
      </c>
      <c r="K14" s="12">
        <v>50000</v>
      </c>
      <c r="L14" s="12">
        <v>50000</v>
      </c>
    </row>
    <row r="15" spans="2:12" ht="12.75">
      <c r="B15" s="22" t="s">
        <v>60</v>
      </c>
      <c r="C15" s="12">
        <v>63</v>
      </c>
      <c r="D15" s="12">
        <v>98</v>
      </c>
      <c r="E15" s="12">
        <v>105</v>
      </c>
      <c r="F15" s="12">
        <v>140</v>
      </c>
      <c r="G15" s="12">
        <v>282</v>
      </c>
      <c r="H15" s="12">
        <v>150</v>
      </c>
      <c r="I15" s="12">
        <v>150</v>
      </c>
      <c r="J15" s="12">
        <v>150</v>
      </c>
      <c r="K15" s="12">
        <v>200</v>
      </c>
      <c r="L15" s="12">
        <v>450</v>
      </c>
    </row>
    <row r="16" spans="2:12" ht="12.75">
      <c r="B16" s="22" t="s">
        <v>61</v>
      </c>
      <c r="C16" s="25">
        <f aca="true" t="shared" si="2" ref="C16:H16">+C15/C11</f>
        <v>4.2</v>
      </c>
      <c r="D16" s="25">
        <f t="shared" si="2"/>
        <v>5.764705882352941</v>
      </c>
      <c r="E16" s="25">
        <f t="shared" si="2"/>
        <v>6.176470588235294</v>
      </c>
      <c r="F16" s="25">
        <f t="shared" si="2"/>
        <v>6.666666666666667</v>
      </c>
      <c r="G16" s="25">
        <f t="shared" si="2"/>
        <v>5.320754716981132</v>
      </c>
      <c r="H16" s="25">
        <f t="shared" si="2"/>
        <v>4.285714285714286</v>
      </c>
      <c r="I16" s="25">
        <f>+I15/I11</f>
        <v>4.285714285714286</v>
      </c>
      <c r="J16" s="25">
        <f>+J15/J11</f>
        <v>1.875</v>
      </c>
      <c r="K16" s="25">
        <f>+K15/K11</f>
        <v>3.8461538461538463</v>
      </c>
      <c r="L16" s="25">
        <f>+L15/L11</f>
        <v>4.7368421052631575</v>
      </c>
    </row>
    <row r="17" spans="2:12" ht="12.75">
      <c r="B17" s="22" t="s">
        <v>62</v>
      </c>
      <c r="C17" s="12">
        <f aca="true" t="shared" si="3" ref="C17:H17">+C16*C9</f>
        <v>672</v>
      </c>
      <c r="D17" s="12">
        <f t="shared" si="3"/>
        <v>1297.0588235294117</v>
      </c>
      <c r="E17" s="12">
        <f t="shared" si="3"/>
        <v>1544.1176470588236</v>
      </c>
      <c r="F17" s="12">
        <f t="shared" si="3"/>
        <v>1366.6666666666667</v>
      </c>
      <c r="G17" s="12">
        <f t="shared" si="3"/>
        <v>1436.6037735849056</v>
      </c>
      <c r="H17" s="12">
        <f t="shared" si="3"/>
        <v>1157.142857142857</v>
      </c>
      <c r="I17" s="12">
        <f>+I16*I9</f>
        <v>857.1428571428571</v>
      </c>
      <c r="J17" s="12">
        <f>+J16*J9</f>
        <v>468.75</v>
      </c>
      <c r="K17" s="12">
        <f>+K16*K9</f>
        <v>1269.2307692307693</v>
      </c>
      <c r="L17" s="12">
        <f>+L16*L9</f>
        <v>1482.6315789473683</v>
      </c>
    </row>
    <row r="18" spans="2:12" ht="12.75">
      <c r="B18" s="22" t="s">
        <v>64</v>
      </c>
      <c r="C18" s="12" t="s">
        <v>65</v>
      </c>
      <c r="D18" s="12" t="s">
        <v>65</v>
      </c>
      <c r="E18" s="12" t="s">
        <v>66</v>
      </c>
      <c r="F18" s="12" t="s">
        <v>66</v>
      </c>
      <c r="G18" s="12" t="s">
        <v>66</v>
      </c>
      <c r="H18" s="12" t="s">
        <v>66</v>
      </c>
      <c r="I18" s="12" t="s">
        <v>65</v>
      </c>
      <c r="J18" s="12" t="s">
        <v>66</v>
      </c>
      <c r="K18" s="12" t="s">
        <v>66</v>
      </c>
      <c r="L18" s="12" t="s">
        <v>66</v>
      </c>
    </row>
    <row r="19" spans="2:12" ht="12.75">
      <c r="B19" s="22" t="s">
        <v>70</v>
      </c>
      <c r="C19" s="12" t="s">
        <v>65</v>
      </c>
      <c r="D19" s="12" t="s">
        <v>66</v>
      </c>
      <c r="E19" s="12" t="s">
        <v>66</v>
      </c>
      <c r="F19" s="12" t="s">
        <v>66</v>
      </c>
      <c r="G19" s="12" t="s">
        <v>68</v>
      </c>
      <c r="H19" s="12" t="s">
        <v>68</v>
      </c>
      <c r="I19" s="12" t="s">
        <v>65</v>
      </c>
      <c r="J19" s="12" t="s">
        <v>68</v>
      </c>
      <c r="K19" s="12" t="s">
        <v>69</v>
      </c>
      <c r="L19" s="12" t="s">
        <v>69</v>
      </c>
    </row>
    <row r="20" spans="2:12" ht="12.75">
      <c r="B20" s="22" t="s">
        <v>71</v>
      </c>
      <c r="C20" s="12" t="s">
        <v>65</v>
      </c>
      <c r="D20" s="12" t="s">
        <v>66</v>
      </c>
      <c r="E20" s="12" t="s">
        <v>66</v>
      </c>
      <c r="F20" s="12" t="s">
        <v>66</v>
      </c>
      <c r="G20" s="12" t="s">
        <v>66</v>
      </c>
      <c r="H20" s="12" t="s">
        <v>66</v>
      </c>
      <c r="I20" s="12" t="s">
        <v>65</v>
      </c>
      <c r="J20" s="12" t="s">
        <v>66</v>
      </c>
      <c r="K20" s="12" t="s">
        <v>66</v>
      </c>
      <c r="L20" s="12" t="s">
        <v>66</v>
      </c>
    </row>
    <row r="21" spans="2:12" ht="12.75">
      <c r="B21" s="22" t="s">
        <v>81</v>
      </c>
      <c r="C21" s="12" t="s">
        <v>65</v>
      </c>
      <c r="D21" s="12" t="s">
        <v>65</v>
      </c>
      <c r="E21" s="12" t="s">
        <v>65</v>
      </c>
      <c r="F21" s="12" t="s">
        <v>66</v>
      </c>
      <c r="G21" s="12" t="s">
        <v>66</v>
      </c>
      <c r="H21" s="12" t="s">
        <v>67</v>
      </c>
      <c r="I21" s="12" t="s">
        <v>67</v>
      </c>
      <c r="J21" s="12" t="s">
        <v>66</v>
      </c>
      <c r="K21" s="12" t="s">
        <v>66</v>
      </c>
      <c r="L21" s="12" t="s">
        <v>66</v>
      </c>
    </row>
    <row r="22" ht="12.75">
      <c r="A22" t="s">
        <v>10</v>
      </c>
    </row>
    <row r="23" spans="2:12" ht="12.75">
      <c r="B23" t="s">
        <v>5</v>
      </c>
      <c r="C23" s="2">
        <v>1500</v>
      </c>
      <c r="D23" s="2">
        <v>3000</v>
      </c>
      <c r="E23" s="2">
        <v>4000</v>
      </c>
      <c r="F23" s="2">
        <v>3000</v>
      </c>
      <c r="G23" s="2">
        <v>4000</v>
      </c>
      <c r="H23" s="2">
        <v>4000</v>
      </c>
      <c r="I23" s="2">
        <v>2000</v>
      </c>
      <c r="J23" s="2">
        <v>4000</v>
      </c>
      <c r="K23" s="2">
        <v>4000</v>
      </c>
      <c r="L23" s="2">
        <v>4000</v>
      </c>
    </row>
    <row r="24" spans="2:12" ht="12.75">
      <c r="B24" t="s">
        <v>2</v>
      </c>
      <c r="C24" s="2">
        <f>+C3*0.035</f>
        <v>1925.0000000000002</v>
      </c>
      <c r="D24" s="2">
        <v>5500</v>
      </c>
      <c r="E24" s="2">
        <f>+E3*0.035</f>
        <v>8750</v>
      </c>
      <c r="F24" s="2">
        <v>4600</v>
      </c>
      <c r="G24" s="2">
        <v>20000</v>
      </c>
      <c r="H24" s="2">
        <f>+H3*0.035</f>
        <v>16625</v>
      </c>
      <c r="I24" s="2">
        <f>+I3*0.035</f>
        <v>5250.000000000001</v>
      </c>
      <c r="J24" s="2">
        <f>+J3*0.035</f>
        <v>12250.000000000002</v>
      </c>
      <c r="K24" s="2">
        <f>+K3*0.035</f>
        <v>47250.00000000001</v>
      </c>
      <c r="L24" s="2">
        <f>+L3*0.035</f>
        <v>122500.00000000001</v>
      </c>
    </row>
    <row r="25" spans="2:12" ht="12.75">
      <c r="B25" t="s">
        <v>3</v>
      </c>
      <c r="C25" s="2">
        <v>1500</v>
      </c>
      <c r="D25" s="2">
        <v>1500</v>
      </c>
      <c r="E25" s="2">
        <v>1500</v>
      </c>
      <c r="F25" s="2">
        <v>1500</v>
      </c>
      <c r="G25" s="2">
        <v>2400</v>
      </c>
      <c r="H25" s="2">
        <v>1500</v>
      </c>
      <c r="I25" s="2">
        <v>1500</v>
      </c>
      <c r="J25" s="2">
        <v>1500</v>
      </c>
      <c r="K25" s="2">
        <v>1500</v>
      </c>
      <c r="L25" s="2">
        <v>1500</v>
      </c>
    </row>
    <row r="26" spans="2:12" ht="12.75">
      <c r="B26" t="s">
        <v>54</v>
      </c>
      <c r="C26" s="2">
        <v>200</v>
      </c>
      <c r="D26" s="2">
        <v>3500</v>
      </c>
      <c r="E26" s="2">
        <v>3500</v>
      </c>
      <c r="F26" s="2">
        <v>3500</v>
      </c>
      <c r="G26" s="2">
        <v>4000</v>
      </c>
      <c r="H26" s="2">
        <v>4000</v>
      </c>
      <c r="I26" s="2">
        <v>4000</v>
      </c>
      <c r="J26" s="2">
        <v>4000</v>
      </c>
      <c r="K26" s="2"/>
      <c r="L26" s="2"/>
    </row>
    <row r="27" spans="2:12" ht="12.75">
      <c r="B27" t="s">
        <v>23</v>
      </c>
      <c r="C27" s="3">
        <f aca="true" t="shared" si="4" ref="C27:J27">PMT(C4/12,C5*12,-C3*0.85)*12</f>
        <v>3859.0477970903285</v>
      </c>
      <c r="D27" s="3">
        <f>PMT(D4/12,D5*12,-D3*0.85)*12</f>
        <v>21049.3516204927</v>
      </c>
      <c r="E27" s="9">
        <f t="shared" si="4"/>
        <v>17541.12635041058</v>
      </c>
      <c r="F27" s="3">
        <f>PMT(F4/12,F5*12,-F3*0.85)*12</f>
        <v>30170.737322706205</v>
      </c>
      <c r="G27" s="3">
        <f>PMT(G4/12,G5*12,-G3*0.85)*12</f>
        <v>98230.30756229928</v>
      </c>
      <c r="H27" s="3">
        <f>PMT(H4/12,H5*12,-H3*0.85)*12</f>
        <v>33328.14006578011</v>
      </c>
      <c r="I27" s="3">
        <f t="shared" si="4"/>
        <v>10524.67581024635</v>
      </c>
      <c r="J27" s="3">
        <f t="shared" si="4"/>
        <v>24557.57689057482</v>
      </c>
      <c r="K27" s="3">
        <f>PMT(K4/12,K5*12,-K3*0.85)*12</f>
        <v>94722.08229221715</v>
      </c>
      <c r="L27" s="3">
        <f>PMT(L4/12,L5*12,-L3*0.85)*12</f>
        <v>245575.7689057482</v>
      </c>
    </row>
    <row r="28" spans="3:12" ht="12.75">
      <c r="C28" s="2">
        <f aca="true" t="shared" si="5" ref="C28:I28">SUM(C23:C27)</f>
        <v>8984.047797090328</v>
      </c>
      <c r="D28" s="2">
        <f>SUM(D23:D27)</f>
        <v>34549.3516204927</v>
      </c>
      <c r="E28" s="2">
        <f t="shared" si="5"/>
        <v>35291.12635041058</v>
      </c>
      <c r="F28" s="2">
        <f>SUM(F23:F27)</f>
        <v>42770.737322706205</v>
      </c>
      <c r="G28" s="2">
        <f>SUM(G23:G27)</f>
        <v>128630.30756229928</v>
      </c>
      <c r="H28" s="2">
        <f>SUM(H23:H27)</f>
        <v>59453.14006578011</v>
      </c>
      <c r="I28" s="2">
        <f t="shared" si="5"/>
        <v>23274.67581024635</v>
      </c>
      <c r="J28" s="2">
        <f>SUM(J23:J27)</f>
        <v>46307.57689057482</v>
      </c>
      <c r="K28" s="2">
        <f>SUM(K23:K27)</f>
        <v>147472.08229221715</v>
      </c>
      <c r="L28" s="2">
        <f>SUM(L23:L27)</f>
        <v>373575.7689057482</v>
      </c>
    </row>
    <row r="29" spans="1:12" ht="12.75">
      <c r="A29" s="10" t="s">
        <v>20</v>
      </c>
      <c r="B29" s="10"/>
      <c r="C29" s="11">
        <f>+C28/C13</f>
        <v>33.11419396672168</v>
      </c>
      <c r="D29" s="11">
        <f>D28/D13</f>
        <v>178.7928946360497</v>
      </c>
      <c r="E29" s="11">
        <f>+E28/E13</f>
        <v>202.92397651486084</v>
      </c>
      <c r="F29" s="11">
        <f aca="true" t="shared" si="6" ref="F29:K29">F28/F13</f>
        <v>201.6640264765597</v>
      </c>
      <c r="G29" s="11">
        <f>G28/G13</f>
        <v>798.7942099618784</v>
      </c>
      <c r="H29" s="11">
        <f t="shared" si="6"/>
        <v>369.2039998084945</v>
      </c>
      <c r="I29" s="11">
        <f t="shared" si="6"/>
        <v>107.0635087271332</v>
      </c>
      <c r="J29" s="11">
        <f t="shared" si="6"/>
        <v>266.2685671208052</v>
      </c>
      <c r="K29" s="11">
        <f t="shared" si="6"/>
        <v>1119.313104597928</v>
      </c>
      <c r="L29" s="11">
        <f>L28/L13</f>
        <v>2689.371960352481</v>
      </c>
    </row>
    <row r="30" spans="1:12" ht="12.75">
      <c r="A30" s="10" t="s">
        <v>48</v>
      </c>
      <c r="B30" s="10"/>
      <c r="C30" s="11">
        <f aca="true" t="shared" si="7" ref="C30:K30">+C28/C14</f>
        <v>0.17968095594180658</v>
      </c>
      <c r="D30" s="11">
        <f t="shared" si="7"/>
        <v>0.690987032409854</v>
      </c>
      <c r="E30" s="11">
        <f t="shared" si="7"/>
        <v>0.7058225270082116</v>
      </c>
      <c r="F30" s="11">
        <f t="shared" si="7"/>
        <v>0.8554147464541241</v>
      </c>
      <c r="G30" s="11">
        <f>+G28/G14</f>
        <v>2.5726061512459855</v>
      </c>
      <c r="H30" s="11">
        <f t="shared" si="7"/>
        <v>1.1890628013156022</v>
      </c>
      <c r="I30" s="11">
        <f t="shared" si="7"/>
        <v>0.465493516204927</v>
      </c>
      <c r="J30" s="11">
        <f t="shared" si="7"/>
        <v>0.9261515378114964</v>
      </c>
      <c r="K30" s="11">
        <f t="shared" si="7"/>
        <v>2.949441645844343</v>
      </c>
      <c r="L30" s="11">
        <f>+L28/L14</f>
        <v>7.471515378114964</v>
      </c>
    </row>
    <row r="31" spans="1:12" ht="12.75">
      <c r="A31" s="10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t="s">
        <v>11</v>
      </c>
      <c r="C32" s="2"/>
      <c r="D32" s="2"/>
      <c r="F32" s="2"/>
      <c r="G32" s="2"/>
      <c r="H32" s="2"/>
      <c r="I32" s="2"/>
      <c r="J32" s="2"/>
      <c r="K32" s="2"/>
      <c r="L32" s="2"/>
    </row>
    <row r="33" spans="2:12" ht="12.75">
      <c r="B33" t="s">
        <v>6</v>
      </c>
      <c r="C33" s="2">
        <f aca="true" t="shared" si="8" ref="C33:K33">+C8/(C6-C7)</f>
        <v>100</v>
      </c>
      <c r="D33" s="2">
        <f t="shared" si="8"/>
        <v>26.5</v>
      </c>
      <c r="E33" s="2">
        <f t="shared" si="8"/>
        <v>26.5</v>
      </c>
      <c r="F33" s="2">
        <f t="shared" si="8"/>
        <v>143.24324324324326</v>
      </c>
      <c r="G33" s="2">
        <f t="shared" si="8"/>
        <v>70</v>
      </c>
      <c r="H33" s="2">
        <f t="shared" si="8"/>
        <v>12.5</v>
      </c>
      <c r="I33" s="2">
        <f t="shared" si="8"/>
        <v>47.142857142857146</v>
      </c>
      <c r="J33" s="2">
        <f t="shared" si="8"/>
        <v>80.64516129032258</v>
      </c>
      <c r="K33" s="2">
        <f t="shared" si="8"/>
        <v>71.42857142857143</v>
      </c>
      <c r="L33" s="2">
        <f>+L8/(L6-L7)</f>
        <v>71.42857142857143</v>
      </c>
    </row>
    <row r="34" spans="2:12" ht="12.75">
      <c r="B34" t="s">
        <v>15</v>
      </c>
      <c r="C34" s="2">
        <f>+C12*C11</f>
        <v>90.89999999999999</v>
      </c>
      <c r="D34" s="2">
        <f aca="true" t="shared" si="9" ref="D34:K34">+D11*D12</f>
        <v>103.02</v>
      </c>
      <c r="E34" s="2">
        <f t="shared" si="9"/>
        <v>103.02</v>
      </c>
      <c r="F34" s="2">
        <f t="shared" si="9"/>
        <v>127.25999999999999</v>
      </c>
      <c r="G34" s="2">
        <f>+G11*G12</f>
        <v>321.18</v>
      </c>
      <c r="H34" s="2">
        <f>+H11*H12</f>
        <v>212.1</v>
      </c>
      <c r="I34" s="2">
        <f t="shared" si="9"/>
        <v>212.1</v>
      </c>
      <c r="J34" s="2">
        <f t="shared" si="9"/>
        <v>484.79999999999995</v>
      </c>
      <c r="K34" s="2">
        <f t="shared" si="9"/>
        <v>315.12</v>
      </c>
      <c r="L34" s="2">
        <f>+L11*L12</f>
        <v>575.6999999999999</v>
      </c>
    </row>
    <row r="35" spans="2:12" ht="12.75">
      <c r="B35" t="s">
        <v>7</v>
      </c>
      <c r="C35" s="3">
        <v>40</v>
      </c>
      <c r="D35" s="3">
        <v>40</v>
      </c>
      <c r="E35" s="9">
        <v>50</v>
      </c>
      <c r="F35" s="3">
        <v>60</v>
      </c>
      <c r="G35" s="3">
        <v>40</v>
      </c>
      <c r="H35" s="3">
        <v>20</v>
      </c>
      <c r="I35" s="3">
        <v>40</v>
      </c>
      <c r="J35" s="3">
        <v>20</v>
      </c>
      <c r="K35" s="3">
        <v>100</v>
      </c>
      <c r="L35" s="3">
        <v>100</v>
      </c>
    </row>
    <row r="36" spans="1:12" ht="12.75">
      <c r="A36" s="10" t="s">
        <v>35</v>
      </c>
      <c r="C36" s="11">
        <f aca="true" t="shared" si="10" ref="C36:I36">SUM(C33:C35)</f>
        <v>230.89999999999998</v>
      </c>
      <c r="D36" s="11">
        <f>SUM(D33:D35)</f>
        <v>169.51999999999998</v>
      </c>
      <c r="E36" s="11">
        <f t="shared" si="10"/>
        <v>179.51999999999998</v>
      </c>
      <c r="F36" s="11">
        <f>SUM(F33:F35)</f>
        <v>330.5032432432432</v>
      </c>
      <c r="G36" s="11">
        <f>SUM(G33:G35)</f>
        <v>431.18</v>
      </c>
      <c r="H36" s="11">
        <f>SUM(H33:H35)</f>
        <v>244.6</v>
      </c>
      <c r="I36" s="11">
        <f t="shared" si="10"/>
        <v>299.24285714285713</v>
      </c>
      <c r="J36" s="11">
        <f>SUM(J33:J35)</f>
        <v>585.4451612903225</v>
      </c>
      <c r="K36" s="11">
        <f>SUM(K33:K35)</f>
        <v>486.54857142857145</v>
      </c>
      <c r="L36" s="11">
        <f>SUM(L33:L35)</f>
        <v>747.1285714285714</v>
      </c>
    </row>
    <row r="37" spans="1:12" ht="12.75">
      <c r="A37" s="10" t="s">
        <v>19</v>
      </c>
      <c r="C37" s="16">
        <f aca="true" t="shared" si="11" ref="C37:K37">+C36/C10</f>
        <v>1.2528866856507848</v>
      </c>
      <c r="D37" s="16">
        <f t="shared" si="11"/>
        <v>0.6551497584541062</v>
      </c>
      <c r="E37" s="16">
        <f>+E36/E10</f>
        <v>0.6244173913043478</v>
      </c>
      <c r="F37" s="16">
        <f t="shared" si="11"/>
        <v>1.4019225588260584</v>
      </c>
      <c r="G37" s="16">
        <f>+G36/G10</f>
        <v>1.3886634460547504</v>
      </c>
      <c r="H37" s="16">
        <f t="shared" si="11"/>
        <v>0.7877616747181965</v>
      </c>
      <c r="I37" s="16">
        <f t="shared" si="11"/>
        <v>1.3010559006211182</v>
      </c>
      <c r="J37" s="16">
        <f t="shared" si="11"/>
        <v>2.0363309957924263</v>
      </c>
      <c r="K37" s="16">
        <f t="shared" si="11"/>
        <v>1.2820779220779224</v>
      </c>
      <c r="L37" s="16">
        <f>+L36/L10</f>
        <v>2.0756454269442184</v>
      </c>
    </row>
    <row r="38" spans="1:12" ht="12.75">
      <c r="A38" s="10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10" t="s">
        <v>40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t="s">
        <v>22</v>
      </c>
      <c r="C40" s="16">
        <f aca="true" t="shared" si="12" ref="C40:K40">+C41/C10</f>
        <v>1.4325676415925914</v>
      </c>
      <c r="D40" s="16">
        <f t="shared" si="12"/>
        <v>1.34613679086396</v>
      </c>
      <c r="E40" s="16">
        <f>+E41/E10</f>
        <v>1.3302399183125593</v>
      </c>
      <c r="F40" s="16">
        <f t="shared" si="12"/>
        <v>2.257337305280182</v>
      </c>
      <c r="G40" s="16">
        <f>+G41/G10</f>
        <v>3.9612695973007357</v>
      </c>
      <c r="H40" s="16">
        <f t="shared" si="12"/>
        <v>1.9768244760337987</v>
      </c>
      <c r="I40" s="16">
        <f t="shared" si="12"/>
        <v>1.7665494168260452</v>
      </c>
      <c r="J40" s="16">
        <f t="shared" si="12"/>
        <v>2.9624825336039224</v>
      </c>
      <c r="K40" s="16">
        <f t="shared" si="12"/>
        <v>4.231519567922265</v>
      </c>
      <c r="L40" s="16">
        <f>+L41/L10</f>
        <v>9.547160805059182</v>
      </c>
    </row>
    <row r="41" spans="1:12" ht="12.75">
      <c r="A41" t="s">
        <v>21</v>
      </c>
      <c r="C41" s="2">
        <f>+C29+C36</f>
        <v>264.0141939667217</v>
      </c>
      <c r="D41" s="2">
        <f>D29+D36</f>
        <v>348.3128946360497</v>
      </c>
      <c r="E41" s="2">
        <f>+E29+E36</f>
        <v>382.4439765148608</v>
      </c>
      <c r="F41" s="2">
        <f aca="true" t="shared" si="13" ref="F41:K41">F29+F36</f>
        <v>532.1672697198029</v>
      </c>
      <c r="G41" s="2">
        <f>G29+G36</f>
        <v>1229.9742099618784</v>
      </c>
      <c r="H41" s="2">
        <f t="shared" si="13"/>
        <v>613.8039998084945</v>
      </c>
      <c r="I41" s="2">
        <f t="shared" si="13"/>
        <v>406.3063658699903</v>
      </c>
      <c r="J41" s="2">
        <f t="shared" si="13"/>
        <v>851.7137284111277</v>
      </c>
      <c r="K41" s="2">
        <f t="shared" si="13"/>
        <v>1605.8616760264995</v>
      </c>
      <c r="L41" s="2">
        <f>L29+L36</f>
        <v>3436.5005317810524</v>
      </c>
    </row>
    <row r="42" spans="1:12" ht="12.75">
      <c r="A42" s="10" t="s">
        <v>36</v>
      </c>
      <c r="C42" s="2">
        <f aca="true" t="shared" si="14" ref="C42:I42">+C41*C13</f>
        <v>71628.38207962956</v>
      </c>
      <c r="D42" s="2">
        <f>+D41*D13</f>
        <v>67306.83954319802</v>
      </c>
      <c r="E42" s="17">
        <f t="shared" si="14"/>
        <v>66511.99591562797</v>
      </c>
      <c r="F42" s="2">
        <f>+F41*F13</f>
        <v>112866.86526400912</v>
      </c>
      <c r="G42" s="2">
        <f>+G41*G13</f>
        <v>198063.4798650368</v>
      </c>
      <c r="H42" s="2">
        <f>+H41*H13</f>
        <v>98841.22380168994</v>
      </c>
      <c r="I42" s="2">
        <f t="shared" si="14"/>
        <v>88327.47084130226</v>
      </c>
      <c r="J42" s="2">
        <f>+J41*J13</f>
        <v>148124.12668019612</v>
      </c>
      <c r="K42" s="2">
        <f>+K41*K13</f>
        <v>211575.97839611326</v>
      </c>
      <c r="L42" s="2">
        <f>+L41*L13</f>
        <v>477358.0402529591</v>
      </c>
    </row>
    <row r="43" ht="12.75">
      <c r="G43" s="9"/>
    </row>
    <row r="44" ht="12.75">
      <c r="A44" t="s">
        <v>24</v>
      </c>
    </row>
    <row r="45" spans="3:11" ht="12.75">
      <c r="C45" s="13" t="s">
        <v>9</v>
      </c>
      <c r="D45" s="24" t="s">
        <v>80</v>
      </c>
      <c r="E45" s="24" t="s">
        <v>57</v>
      </c>
      <c r="F45" s="24" t="s">
        <v>53</v>
      </c>
      <c r="G45" s="13" t="s">
        <v>34</v>
      </c>
      <c r="H45" s="24" t="s">
        <v>49</v>
      </c>
      <c r="I45" s="13" t="s">
        <v>39</v>
      </c>
      <c r="J45" s="24" t="s">
        <v>58</v>
      </c>
      <c r="K45" s="24" t="s">
        <v>63</v>
      </c>
    </row>
    <row r="46" ht="12.75">
      <c r="A46" t="s">
        <v>45</v>
      </c>
    </row>
    <row r="47" spans="1:10" ht="12.75">
      <c r="A47" s="22" t="s">
        <v>76</v>
      </c>
      <c r="B47">
        <v>161</v>
      </c>
      <c r="C47" s="14">
        <f>+B47*C37</f>
        <v>201.71475638977634</v>
      </c>
      <c r="D47" s="17">
        <f>+B47*D37</f>
        <v>105.4791111111111</v>
      </c>
      <c r="E47" s="2">
        <f>+B47*E37</f>
        <v>100.5312</v>
      </c>
      <c r="F47" s="17">
        <f>+B47*F37</f>
        <v>225.7095319709954</v>
      </c>
      <c r="G47" s="2">
        <f>+B47*G37</f>
        <v>223.57481481481483</v>
      </c>
      <c r="H47" s="17">
        <f>+B47*H37</f>
        <v>126.82962962962964</v>
      </c>
      <c r="I47" s="2">
        <f>+B47*I37</f>
        <v>209.47000000000003</v>
      </c>
      <c r="J47" s="2">
        <f>+B47*J37</f>
        <v>327.84929032258066</v>
      </c>
    </row>
    <row r="48" spans="1:10" ht="12.75">
      <c r="A48" s="22" t="s">
        <v>77</v>
      </c>
      <c r="B48">
        <v>292</v>
      </c>
      <c r="C48" s="2">
        <f>+B48*C37</f>
        <v>365.84291221002917</v>
      </c>
      <c r="D48" s="17">
        <f>+C48*D37</f>
        <v>239.68189556654738</v>
      </c>
      <c r="E48" s="2">
        <f>+B48*E37</f>
        <v>182.32987826086955</v>
      </c>
      <c r="F48" s="17">
        <f>+B48*F37</f>
        <v>409.36138717720905</v>
      </c>
      <c r="G48" s="2">
        <f>+B48*G37</f>
        <v>405.4897262479871</v>
      </c>
      <c r="H48" s="17">
        <f>+B48*H37</f>
        <v>230.02640901771338</v>
      </c>
      <c r="I48" s="2">
        <f>+B48*I37</f>
        <v>379.9083229813665</v>
      </c>
      <c r="J48" s="2">
        <f>+B48*J37</f>
        <v>594.6086507713885</v>
      </c>
    </row>
    <row r="49" spans="1:10" ht="12.75">
      <c r="A49" s="22" t="s">
        <v>78</v>
      </c>
      <c r="B49">
        <v>928</v>
      </c>
      <c r="C49" s="2">
        <f>+C37*B49</f>
        <v>1162.6788442839284</v>
      </c>
      <c r="D49" s="14">
        <f>+D37*B49</f>
        <v>607.9789758454106</v>
      </c>
      <c r="E49" s="2">
        <f>+E37*B49</f>
        <v>579.4593391304347</v>
      </c>
      <c r="F49" s="17">
        <f>+F37*B49</f>
        <v>1300.9841345905822</v>
      </c>
      <c r="G49" s="2">
        <f>+G37*B49</f>
        <v>1288.6796779388085</v>
      </c>
      <c r="H49" s="14">
        <f>+B49*H37</f>
        <v>731.0428341384863</v>
      </c>
      <c r="I49" s="2">
        <f>+I37*B49</f>
        <v>1207.3798757763977</v>
      </c>
      <c r="J49" s="2">
        <f>+J37*B49</f>
        <v>1889.7151640953716</v>
      </c>
    </row>
    <row r="50" spans="1:10" ht="12.75">
      <c r="A50" s="22" t="s">
        <v>79</v>
      </c>
      <c r="B50" s="10">
        <v>1212</v>
      </c>
      <c r="C50" s="2">
        <f>+B50*C37</f>
        <v>1518.4986630087512</v>
      </c>
      <c r="D50" s="17">
        <f>+B50*D37</f>
        <v>794.0415072463767</v>
      </c>
      <c r="E50" s="2">
        <f>+B50*E37</f>
        <v>756.7938782608695</v>
      </c>
      <c r="F50" s="17">
        <f>+B50*F37</f>
        <v>1699.1301412971827</v>
      </c>
      <c r="G50" s="2">
        <f>+B50*G37</f>
        <v>1683.0600966183576</v>
      </c>
      <c r="H50" s="17">
        <f>+B50*H37</f>
        <v>954.7671497584541</v>
      </c>
      <c r="I50" s="2">
        <f>+B50*I37</f>
        <v>1576.8797515527954</v>
      </c>
      <c r="J50" s="2">
        <f>+B50*J37</f>
        <v>2468.033166900421</v>
      </c>
    </row>
    <row r="52" ht="12.75">
      <c r="A52" t="s">
        <v>40</v>
      </c>
    </row>
    <row r="53" spans="1:10" ht="12.75">
      <c r="A53" s="22" t="s">
        <v>75</v>
      </c>
      <c r="B53" s="10">
        <f>+B47/1.15</f>
        <v>140</v>
      </c>
      <c r="C53" s="2">
        <f>+B47*C40</f>
        <v>230.64339029640723</v>
      </c>
      <c r="D53" s="2">
        <f>+C47*D40</f>
        <v>271.535654836439</v>
      </c>
      <c r="E53" s="11">
        <f>+B47*E40</f>
        <v>214.16862684832205</v>
      </c>
      <c r="F53" s="2">
        <f>+E47*F40</f>
        <v>226.93282810458305</v>
      </c>
      <c r="G53" s="2">
        <f>+B47*G40</f>
        <v>637.7644051654185</v>
      </c>
      <c r="H53" s="2">
        <f>+B47*H40</f>
        <v>318.2687406414416</v>
      </c>
      <c r="I53" s="2">
        <f>+B47*I40</f>
        <v>284.41445610899325</v>
      </c>
      <c r="J53" s="2">
        <f>+B47*J40</f>
        <v>476.95968791023154</v>
      </c>
    </row>
    <row r="54" spans="1:10" ht="12.75">
      <c r="A54" s="22" t="s">
        <v>74</v>
      </c>
      <c r="B54" s="27">
        <f>+B48/1.15</f>
        <v>253.9130434782609</v>
      </c>
      <c r="C54" s="2">
        <f>+B48*C40</f>
        <v>418.3097513450367</v>
      </c>
      <c r="D54" s="2">
        <f>+C48*D40</f>
        <v>492.4746038027341</v>
      </c>
      <c r="E54" s="2">
        <f>+B48*E40</f>
        <v>388.4300561472673</v>
      </c>
      <c r="F54" s="2">
        <f>+E48*F40</f>
        <v>411.5800360654549</v>
      </c>
      <c r="G54" s="2">
        <f>+B48*G40</f>
        <v>1156.690722411815</v>
      </c>
      <c r="H54" s="2">
        <f>+B48*H40</f>
        <v>577.2327470018693</v>
      </c>
      <c r="I54" s="2">
        <f>+B48*I40</f>
        <v>515.8324297132052</v>
      </c>
      <c r="J54" s="2">
        <f>+B48*J40</f>
        <v>865.0448998123453</v>
      </c>
    </row>
    <row r="55" spans="1:10" ht="12.75">
      <c r="A55" s="22" t="s">
        <v>73</v>
      </c>
      <c r="B55" s="27">
        <f>+B49/1.15</f>
        <v>806.9565217391305</v>
      </c>
      <c r="C55" s="2">
        <f>+C40*B49</f>
        <v>1329.4227713979249</v>
      </c>
      <c r="D55" s="2">
        <f>+B49*D40</f>
        <v>1249.2149419217549</v>
      </c>
      <c r="E55" s="2">
        <f>+E40*B49</f>
        <v>1234.462644194055</v>
      </c>
      <c r="F55" s="2">
        <f>+F40*B49</f>
        <v>2094.809019300009</v>
      </c>
      <c r="G55" s="2">
        <f>+G40*B49</f>
        <v>3676.0581862950826</v>
      </c>
      <c r="H55" s="2">
        <f>+B49*H40</f>
        <v>1834.4931137593653</v>
      </c>
      <c r="I55" s="2">
        <f>+I40*B49</f>
        <v>1639.35785881457</v>
      </c>
      <c r="J55" s="2">
        <f>+J40*B49</f>
        <v>2749.18379118444</v>
      </c>
    </row>
    <row r="56" spans="1:10" ht="12.75">
      <c r="A56" s="22" t="s">
        <v>72</v>
      </c>
      <c r="B56" s="27">
        <f>+B50/1.15</f>
        <v>1053.913043478261</v>
      </c>
      <c r="C56" s="2">
        <f>+B50*C40</f>
        <v>1736.2719816102208</v>
      </c>
      <c r="D56" s="2">
        <f>+B50*D40</f>
        <v>1631.5177905271196</v>
      </c>
      <c r="E56" s="2">
        <f>+B50*E40</f>
        <v>1612.2507809948218</v>
      </c>
      <c r="F56" s="2">
        <f>+B50*F40</f>
        <v>2735.892813999581</v>
      </c>
      <c r="G56" s="2">
        <f>+B50*G40</f>
        <v>4801.058751928492</v>
      </c>
      <c r="H56" s="2">
        <f>+B50*H40</f>
        <v>2395.911264952964</v>
      </c>
      <c r="I56" s="2">
        <f>+B50*I40</f>
        <v>2141.057893193167</v>
      </c>
      <c r="J56" s="2">
        <f>+B50*J40</f>
        <v>3590.528830727954</v>
      </c>
    </row>
    <row r="58" spans="3:10" ht="12.75">
      <c r="C58" s="13" t="s">
        <v>9</v>
      </c>
      <c r="D58" s="24" t="s">
        <v>55</v>
      </c>
      <c r="E58" s="24" t="s">
        <v>56</v>
      </c>
      <c r="F58" s="24" t="s">
        <v>53</v>
      </c>
      <c r="G58" s="13" t="s">
        <v>34</v>
      </c>
      <c r="H58" s="13" t="s">
        <v>41</v>
      </c>
      <c r="I58" s="13" t="s">
        <v>39</v>
      </c>
      <c r="J58" s="13" t="s">
        <v>50</v>
      </c>
    </row>
    <row r="59" ht="12.75">
      <c r="B59" t="s">
        <v>46</v>
      </c>
    </row>
    <row r="60" spans="2:10" ht="12.75">
      <c r="B60" s="1" t="s">
        <v>42</v>
      </c>
      <c r="C60" s="19">
        <f aca="true" t="shared" si="15" ref="C60:J60">140/C9</f>
        <v>0.875</v>
      </c>
      <c r="D60" s="18">
        <f>140/D9</f>
        <v>0.6222222222222222</v>
      </c>
      <c r="E60" s="18">
        <f t="shared" si="15"/>
        <v>0.56</v>
      </c>
      <c r="F60" s="18">
        <f>140/F9</f>
        <v>0.6829268292682927</v>
      </c>
      <c r="G60" s="18">
        <v>0.467</v>
      </c>
      <c r="H60" s="18">
        <f>140/H9</f>
        <v>0.5185185185185185</v>
      </c>
      <c r="I60" s="18">
        <f t="shared" si="15"/>
        <v>0.7</v>
      </c>
      <c r="J60" s="19">
        <f t="shared" si="15"/>
        <v>0.56</v>
      </c>
    </row>
    <row r="61" spans="2:10" ht="12.75">
      <c r="B61" s="1" t="s">
        <v>43</v>
      </c>
      <c r="C61" s="18">
        <f>254/C9</f>
        <v>1.5875</v>
      </c>
      <c r="D61" s="18">
        <f>254/D9</f>
        <v>1.1288888888888888</v>
      </c>
      <c r="E61" s="18">
        <f>254/E9</f>
        <v>1.016</v>
      </c>
      <c r="F61" s="18">
        <f>254/F9</f>
        <v>1.2390243902439024</v>
      </c>
      <c r="G61" s="18">
        <v>0.95</v>
      </c>
      <c r="H61" s="18">
        <f>254/H9</f>
        <v>0.9407407407407408</v>
      </c>
      <c r="I61" s="18">
        <f>254/200</f>
        <v>1.27</v>
      </c>
      <c r="J61" s="18">
        <f>254/J9</f>
        <v>1.016</v>
      </c>
    </row>
    <row r="62" spans="2:10" ht="12.75">
      <c r="B62" s="1" t="s">
        <v>52</v>
      </c>
      <c r="C62" s="18">
        <f>+B49/C10</f>
        <v>5.035421586331435</v>
      </c>
      <c r="D62" s="18">
        <f>+C49/D9</f>
        <v>5.167461530150793</v>
      </c>
      <c r="E62" s="18">
        <f>+B49/E10</f>
        <v>3.227826086956522</v>
      </c>
      <c r="F62" s="18">
        <f>+B49/F9</f>
        <v>4.5268292682926825</v>
      </c>
      <c r="G62" s="18">
        <f>+B49/G10</f>
        <v>2.9887278582930756</v>
      </c>
      <c r="H62" s="18">
        <f>+B49/H9</f>
        <v>3.437037037037037</v>
      </c>
      <c r="I62" s="18"/>
      <c r="J62" s="18"/>
    </row>
    <row r="63" spans="2:10" ht="12.75">
      <c r="B63" s="1" t="s">
        <v>44</v>
      </c>
      <c r="C63" s="18">
        <f>+B50/C10</f>
        <v>6.5764342269759695</v>
      </c>
      <c r="D63" s="18">
        <f>+B50/D10</f>
        <v>4.684057971014493</v>
      </c>
      <c r="E63" s="19">
        <f>+B50/E10</f>
        <v>4.2156521739130435</v>
      </c>
      <c r="F63" s="18">
        <f>+B50/F10</f>
        <v>5.141039236479322</v>
      </c>
      <c r="G63" s="18">
        <f>+B50/G10</f>
        <v>3.9033816425120773</v>
      </c>
      <c r="H63" s="18">
        <f>+B50/H10</f>
        <v>3.9033816425120773</v>
      </c>
      <c r="I63" s="18">
        <f>+B50/I10</f>
        <v>5.269565217391305</v>
      </c>
      <c r="J63" s="18">
        <f>+B50/J10</f>
        <v>4.2156521739130435</v>
      </c>
    </row>
    <row r="64" spans="2:10" ht="12.75">
      <c r="B64" s="1"/>
      <c r="C64" s="18"/>
      <c r="D64" s="18"/>
      <c r="E64" s="19"/>
      <c r="F64" s="18"/>
      <c r="G64" s="18"/>
      <c r="H64" s="18"/>
      <c r="I64" s="18"/>
      <c r="J64" s="18"/>
    </row>
    <row r="65" ht="12.75">
      <c r="A65" t="s">
        <v>29</v>
      </c>
    </row>
    <row r="66" ht="12.75">
      <c r="B66" t="s">
        <v>25</v>
      </c>
    </row>
    <row r="68" ht="12.75">
      <c r="A68" t="s">
        <v>38</v>
      </c>
    </row>
    <row r="69" spans="1:3" ht="12.75">
      <c r="A69" t="s">
        <v>37</v>
      </c>
      <c r="C69" s="2"/>
    </row>
    <row r="70" ht="12.75">
      <c r="A70" t="s">
        <v>30</v>
      </c>
    </row>
    <row r="71" ht="12.75">
      <c r="A71" t="s">
        <v>28</v>
      </c>
    </row>
    <row r="72" ht="12.75">
      <c r="A72" t="s">
        <v>31</v>
      </c>
    </row>
    <row r="73" ht="12.75">
      <c r="A73" t="s">
        <v>32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5.140625" style="0" customWidth="1"/>
  </cols>
  <sheetData>
    <row r="2" spans="1:3" ht="12.75">
      <c r="A2" s="7">
        <v>0.08</v>
      </c>
      <c r="C2" s="8">
        <v>0.065</v>
      </c>
    </row>
    <row r="3" spans="1:3" ht="12.75">
      <c r="A3">
        <v>10</v>
      </c>
      <c r="C3">
        <v>240</v>
      </c>
    </row>
    <row r="4" spans="1:3" ht="12.75">
      <c r="A4">
        <v>10000</v>
      </c>
      <c r="C4">
        <v>110000</v>
      </c>
    </row>
    <row r="8" spans="1:3" ht="12.75">
      <c r="A8" s="6">
        <f>PMT(A2/12,A3,A4)</f>
        <v>-1037.0320893591522</v>
      </c>
      <c r="C8" s="6">
        <f>PMT(C2/12,C3,C4)</f>
        <v>-820.1304490666067</v>
      </c>
    </row>
    <row r="16" ht="12.75">
      <c r="A16" s="3" t="e">
        <f>PMT(#REF!/12,A1*12,-#REF!*0.85)*12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22">
      <selection activeCell="A22" sqref="A1:A16384"/>
    </sheetView>
  </sheetViews>
  <sheetFormatPr defaultColWidth="9.140625" defaultRowHeight="12.75"/>
  <cols>
    <col min="2" max="2" width="15.421875" style="0" customWidth="1"/>
    <col min="3" max="3" width="18.421875" style="0" customWidth="1"/>
  </cols>
  <sheetData>
    <row r="1" ht="12.75">
      <c r="C1" s="10"/>
    </row>
    <row r="4" ht="12.75">
      <c r="C4" s="2"/>
    </row>
    <row r="5" ht="12.75">
      <c r="C5" s="5"/>
    </row>
    <row r="6" ht="12.75">
      <c r="C6" s="4"/>
    </row>
    <row r="9" spans="2:3" ht="12.75">
      <c r="B9" s="15"/>
      <c r="C9" s="17"/>
    </row>
    <row r="11" ht="12.75">
      <c r="B11" s="1"/>
    </row>
    <row r="13" ht="12.75">
      <c r="C13" s="2"/>
    </row>
    <row r="14" spans="2:3" ht="12.75">
      <c r="B14" s="10"/>
      <c r="C14" s="12"/>
    </row>
    <row r="15" spans="2:3" ht="12.75">
      <c r="B15" s="10"/>
      <c r="C15" s="12"/>
    </row>
    <row r="16" spans="2:3" ht="12.75">
      <c r="B16" s="10"/>
      <c r="C16" s="12"/>
    </row>
    <row r="18" ht="12.75">
      <c r="C18" s="2"/>
    </row>
    <row r="19" ht="12.75">
      <c r="C19" s="2"/>
    </row>
    <row r="20" ht="12.75">
      <c r="C20" s="2"/>
    </row>
    <row r="21" ht="12.75">
      <c r="C21" s="3"/>
    </row>
    <row r="22" ht="12.75">
      <c r="C22" s="2"/>
    </row>
    <row r="23" spans="1:3" ht="12.75">
      <c r="A23" s="10"/>
      <c r="B23" s="10"/>
      <c r="C23" s="11"/>
    </row>
    <row r="24" spans="1:3" ht="12.75">
      <c r="A24" s="10"/>
      <c r="B24" s="10"/>
      <c r="C24" s="11"/>
    </row>
    <row r="25" spans="1:3" ht="12.75">
      <c r="A25" s="10"/>
      <c r="B25" s="10"/>
      <c r="C25" s="11"/>
    </row>
    <row r="26" ht="12.75">
      <c r="C26" s="2"/>
    </row>
    <row r="27" ht="12.75">
      <c r="C27" s="2"/>
    </row>
    <row r="28" ht="12.75">
      <c r="C28" s="2"/>
    </row>
    <row r="29" ht="12.75">
      <c r="C29" s="3"/>
    </row>
    <row r="30" spans="1:3" ht="12.75">
      <c r="A30" s="10"/>
      <c r="C30" s="11"/>
    </row>
    <row r="31" spans="1:3" ht="12.75">
      <c r="A31" s="10"/>
      <c r="C31" s="16"/>
    </row>
    <row r="32" spans="1:3" ht="12.75">
      <c r="A32" s="10"/>
      <c r="C32" s="2"/>
    </row>
    <row r="33" spans="1:3" ht="12.75">
      <c r="A33" s="10"/>
      <c r="C33" s="2"/>
    </row>
    <row r="34" ht="12.75">
      <c r="C34" s="16"/>
    </row>
    <row r="35" ht="12.75">
      <c r="C35" s="2"/>
    </row>
    <row r="36" spans="1:3" ht="12.75">
      <c r="A36" s="10"/>
      <c r="C36" s="2"/>
    </row>
    <row r="39" ht="12.75">
      <c r="C39" s="13"/>
    </row>
    <row r="41" spans="1:3" ht="12.75">
      <c r="A41" s="10"/>
      <c r="C41" s="17"/>
    </row>
    <row r="42" spans="1:3" ht="12.75">
      <c r="A42" s="10"/>
      <c r="C42" s="17"/>
    </row>
    <row r="43" spans="1:3" ht="12.75">
      <c r="A43" s="10"/>
      <c r="C43" s="14"/>
    </row>
    <row r="44" spans="1:3" ht="12.75">
      <c r="A44" s="10"/>
      <c r="B44" s="10"/>
      <c r="C44" s="17"/>
    </row>
    <row r="47" spans="1:3" ht="12.75">
      <c r="A47" s="10"/>
      <c r="B47" s="10"/>
      <c r="C47" s="2"/>
    </row>
    <row r="48" spans="1:3" ht="12.75">
      <c r="A48" s="10"/>
      <c r="B48" s="10"/>
      <c r="C48" s="2"/>
    </row>
    <row r="49" spans="1:3" ht="12.75">
      <c r="A49" s="10"/>
      <c r="B49" s="10"/>
      <c r="C49" s="2"/>
    </row>
    <row r="50" spans="1:3" ht="12.75">
      <c r="A50" s="10"/>
      <c r="B50" s="10"/>
      <c r="C50" s="2"/>
    </row>
    <row r="52" ht="12.75">
      <c r="C52" s="13"/>
    </row>
    <row r="54" spans="2:3" ht="12.75">
      <c r="B54" s="1"/>
      <c r="C54" s="18"/>
    </row>
    <row r="55" spans="2:3" ht="12.75">
      <c r="B55" s="1"/>
      <c r="C55" s="18"/>
    </row>
    <row r="56" spans="2:3" ht="12.75">
      <c r="B56" s="1"/>
      <c r="C56" s="18"/>
    </row>
    <row r="57" spans="2:3" ht="12.75">
      <c r="B57" s="1"/>
      <c r="C57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Rebein and Bangertger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Bangerter</dc:creator>
  <cp:keywords/>
  <dc:description/>
  <cp:lastModifiedBy>Shane Bangerter</cp:lastModifiedBy>
  <cp:lastPrinted>2011-01-25T23:24:28Z</cp:lastPrinted>
  <dcterms:created xsi:type="dcterms:W3CDTF">2007-10-18T11:58:01Z</dcterms:created>
  <dcterms:modified xsi:type="dcterms:W3CDTF">2014-08-08T15:56:45Z</dcterms:modified>
  <cp:category/>
  <cp:version/>
  <cp:contentType/>
  <cp:contentStatus/>
</cp:coreProperties>
</file>